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Planeación/"/>
    </mc:Choice>
  </mc:AlternateContent>
  <xr:revisionPtr revIDLastSave="0" documentId="8_{13392A72-D27C-42B6-A814-23EDB3FA1802}" xr6:coauthVersionLast="47" xr6:coauthVersionMax="47" xr10:uidLastSave="{00000000-0000-0000-0000-000000000000}"/>
  <bookViews>
    <workbookView xWindow="-110" yWindow="-110" windowWidth="19420" windowHeight="10420" xr2:uid="{00000000-000D-0000-FFFF-FFFF00000000}"/>
  </bookViews>
  <sheets>
    <sheet name="Integración PAA" sheetId="22" r:id="rId1"/>
    <sheet name="Plan de Acción" sheetId="5" r:id="rId2"/>
    <sheet name="PINAR" sheetId="18" r:id="rId3"/>
    <sheet name="PETH" sheetId="11" r:id="rId4"/>
    <sheet name="PSST" sheetId="13" r:id="rId5"/>
    <sheet name="PII" sheetId="12" r:id="rId6"/>
    <sheet name="PIC" sheetId="14" r:id="rId7"/>
    <sheet name="PAAC" sheetId="8" r:id="rId8"/>
    <sheet name="PETI" sheetId="16" r:id="rId9"/>
    <sheet name="PES" sheetId="23" state="hidden" r:id="rId10"/>
    <sheet name="Plan Cierre de Brechas" sheetId="24" state="hidden" r:id="rId11"/>
  </sheets>
  <definedNames>
    <definedName name="_xlnm._FilterDatabase" localSheetId="2" hidden="1">PINAR!$AB$7:$BL$8</definedName>
    <definedName name="Administración_cartera" localSheetId="10">#REF!</definedName>
    <definedName name="Administración_cartera">#REF!</definedName>
    <definedName name="Administración_inmuebles" localSheetId="10">#REF!</definedName>
    <definedName name="Administración_inmuebles">#REF!</definedName>
    <definedName name="Arrendamiento_inmuebles" localSheetId="10">#REF!</definedName>
    <definedName name="Arrendamiento_inmuebles">#REF!</definedName>
    <definedName name="Cartera_propia" localSheetId="10">#REF!</definedName>
    <definedName name="Cartera_propia">#REF!</definedName>
    <definedName name="Cierre" localSheetId="10">#REF!</definedName>
    <definedName name="Cierre">#REF!</definedName>
    <definedName name="Comercialización_inmuebles" localSheetId="10">#REF!</definedName>
    <definedName name="Comercialización_inmuebles">#REF!</definedName>
    <definedName name="Compra_cartera" localSheetId="10">#REF!</definedName>
    <definedName name="Compra_cartera">#REF!</definedName>
    <definedName name="Compra_inmuebles" localSheetId="10">#REF!</definedName>
    <definedName name="Compra_inmuebles">#REF!</definedName>
    <definedName name="Consultoría" localSheetId="10">#REF!</definedName>
    <definedName name="Consultoría">#REF!</definedName>
    <definedName name="Ejecución" localSheetId="10">#REF!</definedName>
    <definedName name="Ejecución">#REF!</definedName>
    <definedName name="Estructuración" localSheetId="10">#REF!</definedName>
    <definedName name="Estructuración">#REF!</definedName>
    <definedName name="Etapas" localSheetId="10">#REF!</definedName>
    <definedName name="Etapas">#REF!</definedName>
    <definedName name="Identificación" localSheetId="10">#REF!</definedName>
    <definedName name="Identificación">#REF!</definedName>
    <definedName name="Linea_servicio" localSheetId="10">#REF!</definedName>
    <definedName name="Linea_servicio">#REF!</definedName>
    <definedName name="Negocios_verdes" localSheetId="10">#REF!</definedName>
    <definedName name="Negocios_verdes">#REF!</definedName>
    <definedName name="Proyectos_estratégicos" localSheetId="10">#REF!</definedName>
    <definedName name="Proyectos_estratégicos">#REF!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4" l="1"/>
  <c r="B4" i="14"/>
  <c r="AU47" i="5" l="1"/>
  <c r="AT47" i="5"/>
  <c r="AS47" i="5"/>
  <c r="AU10" i="5" l="1"/>
  <c r="AU37" i="5" l="1"/>
  <c r="AU46" i="5" l="1"/>
  <c r="AT46" i="5"/>
  <c r="AS46" i="5"/>
  <c r="AR46" i="5" l="1"/>
  <c r="AQ46" i="5"/>
  <c r="AR47" i="5" l="1"/>
  <c r="AQ47" i="5"/>
  <c r="AP47" i="5"/>
  <c r="AR21" i="5" l="1"/>
  <c r="P39" i="5" l="1"/>
  <c r="AO34" i="5" l="1"/>
  <c r="AO32" i="5"/>
  <c r="AO31" i="5"/>
  <c r="AO30" i="5"/>
  <c r="AO29" i="5"/>
  <c r="AO27" i="5"/>
  <c r="AO26" i="5"/>
  <c r="AO25" i="5"/>
  <c r="AO24" i="5"/>
  <c r="BB44" i="5" l="1"/>
  <c r="BB30" i="5"/>
  <c r="BB31" i="5"/>
  <c r="BB32" i="5"/>
  <c r="BB25" i="5"/>
  <c r="BB26" i="5"/>
  <c r="BB27" i="5"/>
  <c r="BC32" i="5" l="1"/>
  <c r="BD32" i="5" s="1"/>
  <c r="BC26" i="5"/>
  <c r="BD26" i="5" s="1"/>
  <c r="BC25" i="5"/>
  <c r="BD25" i="5" s="1"/>
  <c r="BC31" i="5"/>
  <c r="BD31" i="5" s="1"/>
  <c r="BC30" i="5"/>
  <c r="BD30" i="5" s="1"/>
  <c r="BC27" i="5"/>
  <c r="BD27" i="5" s="1"/>
  <c r="BB16" i="16" l="1"/>
  <c r="BC16" i="16" s="1"/>
  <c r="BD16" i="16" s="1"/>
  <c r="BB15" i="16"/>
  <c r="BC15" i="16" s="1"/>
  <c r="BD15" i="16" s="1"/>
  <c r="BB14" i="16"/>
  <c r="BC14" i="16" s="1"/>
  <c r="BD14" i="16" s="1"/>
  <c r="BB13" i="16"/>
  <c r="BC13" i="16" s="1"/>
  <c r="BD13" i="16" s="1"/>
  <c r="BB12" i="16"/>
  <c r="BC12" i="16" s="1"/>
  <c r="BD12" i="16" s="1"/>
  <c r="BB11" i="16"/>
  <c r="BC11" i="16" s="1"/>
  <c r="BD11" i="16" s="1"/>
  <c r="BB10" i="16"/>
  <c r="BC10" i="16" s="1"/>
  <c r="BD10" i="16" s="1"/>
  <c r="BD20" i="16" l="1"/>
  <c r="BE10" i="16" s="1"/>
  <c r="BF10" i="16" s="1"/>
  <c r="BF23" i="16" s="1"/>
  <c r="U10" i="16"/>
  <c r="BB11" i="14"/>
  <c r="BB10" i="14"/>
  <c r="U10" i="14"/>
  <c r="BB11" i="12"/>
  <c r="BC11" i="12" s="1"/>
  <c r="BD11" i="12" s="1"/>
  <c r="BB10" i="12"/>
  <c r="BC10" i="12" s="1"/>
  <c r="BD10" i="12" s="1"/>
  <c r="BD12" i="12" s="1"/>
  <c r="BE10" i="12" s="1"/>
  <c r="BF10" i="12" s="1"/>
  <c r="BF15" i="12" s="1"/>
  <c r="U10" i="12"/>
  <c r="BB10" i="13"/>
  <c r="U10" i="13"/>
  <c r="BB13" i="11"/>
  <c r="BC13" i="11" s="1"/>
  <c r="BD13" i="11" s="1"/>
  <c r="BB12" i="11"/>
  <c r="BC12" i="11" s="1"/>
  <c r="BD12" i="11" s="1"/>
  <c r="BB11" i="11"/>
  <c r="BC11" i="11" s="1"/>
  <c r="BD11" i="11" s="1"/>
  <c r="BB10" i="11"/>
  <c r="BC10" i="11" s="1"/>
  <c r="BD10" i="11" s="1"/>
  <c r="V11" i="11"/>
  <c r="V12" i="11"/>
  <c r="V13" i="11"/>
  <c r="U10" i="11"/>
  <c r="BB10" i="18"/>
  <c r="BB11" i="18"/>
  <c r="BB12" i="18"/>
  <c r="BB13" i="18"/>
  <c r="BC13" i="18" s="1"/>
  <c r="BD13" i="18" s="1"/>
  <c r="BB14" i="18"/>
  <c r="U10" i="18"/>
  <c r="BB46" i="8"/>
  <c r="BB45" i="8"/>
  <c r="BB44" i="8"/>
  <c r="BB43" i="8"/>
  <c r="BB41" i="8"/>
  <c r="BB40" i="8"/>
  <c r="BB39" i="8"/>
  <c r="BB38" i="8"/>
  <c r="BB36" i="8"/>
  <c r="BB35" i="8"/>
  <c r="BB33" i="8"/>
  <c r="BB32" i="8"/>
  <c r="BB31" i="8"/>
  <c r="BB29" i="8"/>
  <c r="BB28" i="8"/>
  <c r="BB27" i="8"/>
  <c r="BB26" i="8"/>
  <c r="BB25" i="8"/>
  <c r="BB23" i="8"/>
  <c r="BB22" i="8"/>
  <c r="BB21" i="8"/>
  <c r="BB20" i="8"/>
  <c r="BB19" i="8"/>
  <c r="BB17" i="8"/>
  <c r="BB15" i="8"/>
  <c r="BB14" i="8"/>
  <c r="BB13" i="8"/>
  <c r="BB12" i="8"/>
  <c r="BB11" i="8"/>
  <c r="BB10" i="8"/>
  <c r="BB9" i="5"/>
  <c r="V11" i="8"/>
  <c r="V12" i="8"/>
  <c r="V13" i="8"/>
  <c r="V14" i="8"/>
  <c r="V15" i="8"/>
  <c r="V20" i="8"/>
  <c r="V21" i="8"/>
  <c r="V22" i="8"/>
  <c r="V23" i="8"/>
  <c r="V26" i="8"/>
  <c r="V27" i="8"/>
  <c r="V28" i="8"/>
  <c r="V29" i="8"/>
  <c r="V32" i="8"/>
  <c r="V33" i="8"/>
  <c r="V36" i="8"/>
  <c r="V39" i="8"/>
  <c r="V40" i="8"/>
  <c r="V41" i="8"/>
  <c r="V44" i="8"/>
  <c r="V45" i="8"/>
  <c r="V46" i="8"/>
  <c r="U43" i="8"/>
  <c r="U38" i="8"/>
  <c r="U35" i="8"/>
  <c r="U31" i="8"/>
  <c r="U25" i="8"/>
  <c r="U19" i="8"/>
  <c r="U17" i="8"/>
  <c r="U10" i="8"/>
  <c r="BB47" i="5"/>
  <c r="BC47" i="5" s="1"/>
  <c r="BD47" i="5" s="1"/>
  <c r="BB46" i="5"/>
  <c r="BC46" i="5" s="1"/>
  <c r="BD46" i="5" s="1"/>
  <c r="BB37" i="5"/>
  <c r="BC37" i="5" s="1"/>
  <c r="BD37" i="5" s="1"/>
  <c r="BB22" i="5"/>
  <c r="BC22" i="5" s="1"/>
  <c r="BD22" i="5" s="1"/>
  <c r="BB21" i="5"/>
  <c r="BC21" i="5" s="1"/>
  <c r="BD21" i="5" s="1"/>
  <c r="BB10" i="5"/>
  <c r="BC10" i="5" s="1"/>
  <c r="BD10" i="5" s="1"/>
  <c r="BB42" i="5"/>
  <c r="BB41" i="5"/>
  <c r="BB39" i="5"/>
  <c r="BB36" i="5"/>
  <c r="BB34" i="5"/>
  <c r="BB29" i="5"/>
  <c r="BB24" i="5"/>
  <c r="BB20" i="5"/>
  <c r="BB18" i="5"/>
  <c r="BB17" i="5"/>
  <c r="BB16" i="5"/>
  <c r="BB15" i="5"/>
  <c r="BB14" i="5"/>
  <c r="BB12" i="5"/>
  <c r="BB11" i="5"/>
  <c r="U46" i="5"/>
  <c r="U41" i="5"/>
  <c r="U39" i="5"/>
  <c r="U36" i="5"/>
  <c r="U44" i="5"/>
  <c r="U34" i="5"/>
  <c r="U29" i="5"/>
  <c r="U24" i="5"/>
  <c r="U20" i="5"/>
  <c r="U14" i="5"/>
  <c r="V10" i="5"/>
  <c r="V11" i="5"/>
  <c r="V12" i="5"/>
  <c r="U9" i="5"/>
  <c r="BD14" i="11" l="1"/>
  <c r="BE10" i="11" s="1"/>
  <c r="BF10" i="11" s="1"/>
  <c r="BF17" i="11" s="1"/>
  <c r="BF18" i="11" s="1"/>
  <c r="BF19" i="11" s="1"/>
  <c r="BF24" i="16"/>
  <c r="BF25" i="16" s="1"/>
  <c r="BG23" i="16" s="1"/>
  <c r="BF16" i="12"/>
  <c r="BF17" i="12" s="1"/>
  <c r="BD48" i="5"/>
  <c r="BE46" i="5" s="1"/>
  <c r="AO14" i="18"/>
  <c r="BC14" i="18" s="1"/>
  <c r="BD14" i="18" s="1"/>
  <c r="AO12" i="18"/>
  <c r="BC12" i="18" s="1"/>
  <c r="BD12" i="18" s="1"/>
  <c r="AO11" i="18"/>
  <c r="BC11" i="18" s="1"/>
  <c r="BD11" i="18" s="1"/>
  <c r="AO10" i="18"/>
  <c r="BC10" i="18" s="1"/>
  <c r="BD10" i="18" s="1"/>
  <c r="P10" i="18"/>
  <c r="V10" i="18" s="1"/>
  <c r="BG15" i="12" l="1"/>
  <c r="B4" i="12" s="1"/>
  <c r="B5" i="12"/>
  <c r="B5" i="11"/>
  <c r="BG17" i="11"/>
  <c r="B4" i="11" s="1"/>
  <c r="BD15" i="18"/>
  <c r="BE10" i="18" s="1"/>
  <c r="BF10" i="18" s="1"/>
  <c r="BF18" i="18" s="1"/>
  <c r="P10" i="16"/>
  <c r="V10" i="16" s="1"/>
  <c r="AO46" i="8"/>
  <c r="BC46" i="8" s="1"/>
  <c r="BD46" i="8" s="1"/>
  <c r="AO44" i="8"/>
  <c r="BC44" i="8" s="1"/>
  <c r="BD44" i="8" s="1"/>
  <c r="AO45" i="8"/>
  <c r="BC45" i="8" s="1"/>
  <c r="BD45" i="8" s="1"/>
  <c r="AO43" i="8"/>
  <c r="BC43" i="8" s="1"/>
  <c r="BD43" i="8" s="1"/>
  <c r="AO40" i="8"/>
  <c r="BC40" i="8" s="1"/>
  <c r="BD40" i="8" s="1"/>
  <c r="AO41" i="8"/>
  <c r="BC41" i="8" s="1"/>
  <c r="BD41" i="8" s="1"/>
  <c r="AO39" i="8"/>
  <c r="BC39" i="8" s="1"/>
  <c r="BD39" i="8" s="1"/>
  <c r="AO38" i="8"/>
  <c r="BC38" i="8" s="1"/>
  <c r="BD38" i="8" s="1"/>
  <c r="AO36" i="8"/>
  <c r="BC36" i="8" s="1"/>
  <c r="BD36" i="8" s="1"/>
  <c r="AO35" i="8"/>
  <c r="BC35" i="8" s="1"/>
  <c r="BD35" i="8" s="1"/>
  <c r="AO33" i="8"/>
  <c r="BC33" i="8" s="1"/>
  <c r="BD33" i="8" s="1"/>
  <c r="AO32" i="8"/>
  <c r="BC32" i="8" s="1"/>
  <c r="BD32" i="8" s="1"/>
  <c r="AO31" i="8"/>
  <c r="BC31" i="8" s="1"/>
  <c r="BD31" i="8" s="1"/>
  <c r="AO28" i="8"/>
  <c r="BC28" i="8" s="1"/>
  <c r="BD28" i="8" s="1"/>
  <c r="AO29" i="8"/>
  <c r="BC29" i="8" s="1"/>
  <c r="BD29" i="8" s="1"/>
  <c r="AO26" i="8"/>
  <c r="BC26" i="8" s="1"/>
  <c r="BD26" i="8" s="1"/>
  <c r="AO27" i="8"/>
  <c r="BC27" i="8" s="1"/>
  <c r="BD27" i="8" s="1"/>
  <c r="AO25" i="8"/>
  <c r="BC25" i="8" s="1"/>
  <c r="BD25" i="8" s="1"/>
  <c r="AO23" i="8"/>
  <c r="BC23" i="8" s="1"/>
  <c r="BD23" i="8" s="1"/>
  <c r="AO22" i="8"/>
  <c r="BC22" i="8" s="1"/>
  <c r="BD22" i="8" s="1"/>
  <c r="AO21" i="8"/>
  <c r="BC21" i="8" s="1"/>
  <c r="BD21" i="8" s="1"/>
  <c r="AO20" i="8"/>
  <c r="BC20" i="8" s="1"/>
  <c r="BD20" i="8" s="1"/>
  <c r="AO19" i="8"/>
  <c r="BC19" i="8" s="1"/>
  <c r="BD19" i="8" s="1"/>
  <c r="AO17" i="8"/>
  <c r="BC17" i="8" s="1"/>
  <c r="BD17" i="8" s="1"/>
  <c r="BD18" i="8" s="1"/>
  <c r="BE17" i="8" s="1"/>
  <c r="AO15" i="8"/>
  <c r="BC15" i="8" s="1"/>
  <c r="BD15" i="8" s="1"/>
  <c r="AO14" i="8"/>
  <c r="BC14" i="8" s="1"/>
  <c r="BD14" i="8" s="1"/>
  <c r="AO13" i="8"/>
  <c r="BC13" i="8" s="1"/>
  <c r="BD13" i="8" s="1"/>
  <c r="AO12" i="8"/>
  <c r="BC12" i="8" s="1"/>
  <c r="BD12" i="8" s="1"/>
  <c r="AO11" i="8"/>
  <c r="BC11" i="8" s="1"/>
  <c r="BD11" i="8" s="1"/>
  <c r="AO10" i="8"/>
  <c r="BC10" i="8" s="1"/>
  <c r="BD10" i="8" s="1"/>
  <c r="P43" i="8"/>
  <c r="V43" i="8" s="1"/>
  <c r="P38" i="8"/>
  <c r="V38" i="8" s="1"/>
  <c r="P35" i="8"/>
  <c r="V35" i="8" s="1"/>
  <c r="P31" i="8"/>
  <c r="V31" i="8" s="1"/>
  <c r="P25" i="8"/>
  <c r="V25" i="8" s="1"/>
  <c r="P19" i="8"/>
  <c r="V19" i="8" s="1"/>
  <c r="P17" i="8"/>
  <c r="V17" i="8" s="1"/>
  <c r="P10" i="8"/>
  <c r="V10" i="8" s="1"/>
  <c r="AO11" i="14"/>
  <c r="BC11" i="14" s="1"/>
  <c r="BD11" i="14" s="1"/>
  <c r="AO10" i="14"/>
  <c r="BC10" i="14" s="1"/>
  <c r="BD10" i="14" s="1"/>
  <c r="P10" i="14"/>
  <c r="V10" i="14" s="1"/>
  <c r="P10" i="12"/>
  <c r="V10" i="12" s="1"/>
  <c r="AO10" i="13"/>
  <c r="BC10" i="13" s="1"/>
  <c r="BD10" i="13" s="1"/>
  <c r="BD11" i="13" s="1" a="1"/>
  <c r="BD11" i="13" s="1"/>
  <c r="BE10" i="13" s="1"/>
  <c r="BF10" i="13" s="1"/>
  <c r="BF14" i="13" s="1" a="1"/>
  <c r="BF14" i="13" s="1"/>
  <c r="P10" i="13"/>
  <c r="V10" i="13" s="1"/>
  <c r="P10" i="11"/>
  <c r="V10" i="11" s="1"/>
  <c r="AO42" i="5"/>
  <c r="BC42" i="5" s="1"/>
  <c r="BD42" i="5" s="1"/>
  <c r="AO41" i="5"/>
  <c r="BC41" i="5" s="1"/>
  <c r="BD41" i="5" s="1"/>
  <c r="AO39" i="5"/>
  <c r="BC39" i="5" s="1"/>
  <c r="AO36" i="5"/>
  <c r="BC36" i="5" s="1"/>
  <c r="AO44" i="5"/>
  <c r="BC34" i="5"/>
  <c r="BC29" i="5"/>
  <c r="BD29" i="5" s="1"/>
  <c r="BD33" i="5" s="1"/>
  <c r="BC24" i="5"/>
  <c r="BD24" i="5" s="1"/>
  <c r="BD28" i="5" s="1"/>
  <c r="AO20" i="5"/>
  <c r="BC20" i="5" s="1"/>
  <c r="AO15" i="5"/>
  <c r="BC15" i="5" s="1"/>
  <c r="BD15" i="5" s="1"/>
  <c r="AO16" i="5"/>
  <c r="BC16" i="5" s="1"/>
  <c r="BD16" i="5" s="1"/>
  <c r="AO17" i="5"/>
  <c r="BC17" i="5" s="1"/>
  <c r="BD17" i="5" s="1"/>
  <c r="AO18" i="5"/>
  <c r="BC18" i="5" s="1"/>
  <c r="BD18" i="5" s="1"/>
  <c r="AO14" i="5"/>
  <c r="BC14" i="5" s="1"/>
  <c r="BD14" i="5" s="1"/>
  <c r="AO12" i="5"/>
  <c r="BC12" i="5" s="1"/>
  <c r="BD12" i="5" s="1"/>
  <c r="AO11" i="5"/>
  <c r="BC11" i="5" s="1"/>
  <c r="BD11" i="5" s="1"/>
  <c r="AO9" i="5"/>
  <c r="BC9" i="5" s="1"/>
  <c r="BD9" i="5" s="1"/>
  <c r="P46" i="5"/>
  <c r="V46" i="5" s="1"/>
  <c r="P41" i="5"/>
  <c r="V41" i="5" s="1"/>
  <c r="V39" i="5"/>
  <c r="P36" i="5"/>
  <c r="V36" i="5" s="1"/>
  <c r="P44" i="5"/>
  <c r="V44" i="5" s="1"/>
  <c r="P34" i="5"/>
  <c r="V34" i="5" s="1"/>
  <c r="P29" i="5"/>
  <c r="V29" i="5" s="1"/>
  <c r="P24" i="5"/>
  <c r="V24" i="5" s="1"/>
  <c r="P20" i="5"/>
  <c r="V20" i="5" s="1"/>
  <c r="P14" i="5"/>
  <c r="V14" i="5" s="1"/>
  <c r="P9" i="5"/>
  <c r="V9" i="5" s="1"/>
  <c r="BF19" i="18" l="1"/>
  <c r="BF20" i="18" s="1"/>
  <c r="BD12" i="14"/>
  <c r="BE10" i="14" s="1"/>
  <c r="BF10" i="14" s="1"/>
  <c r="BF15" i="14" s="1"/>
  <c r="BF16" i="14" s="1"/>
  <c r="BF17" i="14" s="1"/>
  <c r="BD47" i="8"/>
  <c r="BE43" i="8" s="1"/>
  <c r="BD16" i="8"/>
  <c r="BE10" i="8" s="1"/>
  <c r="BF15" i="13"/>
  <c r="BF16" i="13" s="1"/>
  <c r="BG14" i="13" s="1"/>
  <c r="BD34" i="8"/>
  <c r="BE31" i="8" s="1"/>
  <c r="BD37" i="8"/>
  <c r="BE35" i="8" s="1"/>
  <c r="BD30" i="8"/>
  <c r="BE25" i="8" s="1"/>
  <c r="BD42" i="8"/>
  <c r="BE38" i="8" s="1"/>
  <c r="BD24" i="8"/>
  <c r="BE19" i="8" s="1"/>
  <c r="BD19" i="5"/>
  <c r="BD43" i="5"/>
  <c r="BE41" i="5" s="1"/>
  <c r="BD13" i="5"/>
  <c r="BD39" i="5"/>
  <c r="BD36" i="5"/>
  <c r="BD38" i="5" s="1"/>
  <c r="BE36" i="5" s="1"/>
  <c r="BD34" i="5"/>
  <c r="BD20" i="5"/>
  <c r="BE24" i="5"/>
  <c r="BE29" i="5"/>
  <c r="BC44" i="5"/>
  <c r="BD44" i="5" s="1"/>
  <c r="BD45" i="5" s="1"/>
  <c r="B5" i="18" l="1"/>
  <c r="BG18" i="18"/>
  <c r="B4" i="18" s="1"/>
  <c r="BE9" i="5"/>
  <c r="BF9" i="5" s="1"/>
  <c r="BG15" i="14"/>
  <c r="BF10" i="8"/>
  <c r="BF50" i="8" s="1"/>
  <c r="BF51" i="8" s="1"/>
  <c r="BD40" i="5"/>
  <c r="BE39" i="5" s="1"/>
  <c r="BD35" i="5"/>
  <c r="BE34" i="5" s="1"/>
  <c r="BD23" i="5"/>
  <c r="BE20" i="5" s="1"/>
  <c r="BF20" i="5" s="1"/>
  <c r="BE44" i="5"/>
  <c r="BE14" i="5"/>
  <c r="BF52" i="8" l="1"/>
  <c r="BG50" i="8" s="1"/>
  <c r="BF14" i="5"/>
  <c r="BF51" i="5" s="1"/>
  <c r="BF52" i="5" l="1"/>
  <c r="BF53" i="5" s="1"/>
  <c r="B5" i="8"/>
  <c r="B4" i="8"/>
  <c r="BG51" i="5" l="1"/>
  <c r="B3" i="5" s="1"/>
  <c r="B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<sst xmlns="http://schemas.openxmlformats.org/spreadsheetml/2006/main" count="4188" uniqueCount="849">
  <si>
    <t>Dimensión MIPG</t>
  </si>
  <si>
    <t>S.I. U-I2-D2</t>
  </si>
  <si>
    <t>Política de Gestión y Desempeño MIPG</t>
  </si>
  <si>
    <t>Cargo del Responsable de Ejecutar la Actividad / Área Organizativa a la que Pertenece el Cargo</t>
  </si>
  <si>
    <t>Plan Nacional de Desarrollo - PND</t>
  </si>
  <si>
    <t xml:space="preserve">CISA se encuentra alineada al cumplimiento del país con los Objetivos de Desarrollo Sostenible - ODS:  </t>
  </si>
  <si>
    <t>Descripción</t>
  </si>
  <si>
    <t>Lineamientos Estratégicos</t>
  </si>
  <si>
    <t>Perspectivas Estratégicas</t>
  </si>
  <si>
    <t>Objetivos Estratégicos</t>
  </si>
  <si>
    <t>Modelo Integrado de Planeación y Gestión - MIPG</t>
  </si>
  <si>
    <t xml:space="preserve">Componente Plan Anticorrupción y Atención al Ciudadano </t>
  </si>
  <si>
    <t xml:space="preserve">Subcomponente Plan Anticorrupción y Atención al Ciudadano </t>
  </si>
  <si>
    <t xml:space="preserve">Nombre del Indicador </t>
  </si>
  <si>
    <t>Fórmula de Cálculo</t>
  </si>
  <si>
    <t xml:space="preserve">Meta Anual </t>
  </si>
  <si>
    <t>Unidad de Medida</t>
  </si>
  <si>
    <t xml:space="preserve">Nombre </t>
  </si>
  <si>
    <t>Fecha Inicial Planificada</t>
  </si>
  <si>
    <t>Fecha final planificada</t>
  </si>
  <si>
    <t>Actividad</t>
  </si>
  <si>
    <t>Programación Trimestral</t>
  </si>
  <si>
    <t>TRIM I</t>
  </si>
  <si>
    <t>TRIM II</t>
  </si>
  <si>
    <t>TRIM III</t>
  </si>
  <si>
    <t>TRIM IV</t>
  </si>
  <si>
    <t>TOTAL AÑO</t>
  </si>
  <si>
    <t>Seguimiento</t>
  </si>
  <si>
    <t xml:space="preserve">Enero </t>
  </si>
  <si>
    <t>Febrero</t>
  </si>
  <si>
    <t>Marzo</t>
  </si>
  <si>
    <t>Abril</t>
  </si>
  <si>
    <t>Mayo</t>
  </si>
  <si>
    <t>Junio</t>
  </si>
  <si>
    <t>Julio</t>
  </si>
  <si>
    <t>Ago.</t>
  </si>
  <si>
    <t>Sept.</t>
  </si>
  <si>
    <t>Oct.</t>
  </si>
  <si>
    <t>Nov.</t>
  </si>
  <si>
    <t>Dic</t>
  </si>
  <si>
    <t xml:space="preserve">Resultado acumulado </t>
  </si>
  <si>
    <t>Ejecución</t>
  </si>
  <si>
    <t xml:space="preserve">TRIM I   </t>
  </si>
  <si>
    <t xml:space="preserve">TRIM III    </t>
  </si>
  <si>
    <t xml:space="preserve">TRIM IV     </t>
  </si>
  <si>
    <t xml:space="preserve">Ejecución
</t>
  </si>
  <si>
    <t xml:space="preserve">Resultado acumulado   </t>
  </si>
  <si>
    <t xml:space="preserve"> </t>
  </si>
  <si>
    <t>Marco Estratégico</t>
  </si>
  <si>
    <t>Indicadores de Gestión / Producto</t>
  </si>
  <si>
    <t>Meta del Objetivo</t>
  </si>
  <si>
    <t xml:space="preserve">Ejecución   </t>
  </si>
  <si>
    <t>Programación Anual</t>
  </si>
  <si>
    <t xml:space="preserve">TRIM I    </t>
  </si>
  <si>
    <t xml:space="preserve">TRIM II     </t>
  </si>
  <si>
    <t xml:space="preserve">TRIM IV    </t>
  </si>
  <si>
    <t>Cargo del Responsable de Documentar la Actividad / Área Organizativa a la que Pertenece el Cargo</t>
  </si>
  <si>
    <t xml:space="preserve">Fórmula de Cálculo   </t>
  </si>
  <si>
    <t xml:space="preserve">Unidad de Medida   </t>
  </si>
  <si>
    <t xml:space="preserve">TRIM II   </t>
  </si>
  <si>
    <t xml:space="preserve">TRIM III   </t>
  </si>
  <si>
    <t xml:space="preserve">TOTAL AÑO      </t>
  </si>
  <si>
    <t xml:space="preserve">Operar con transparencia </t>
  </si>
  <si>
    <t>Fortalecimiento de la transparencia y eficiencia en la gestión</t>
  </si>
  <si>
    <t xml:space="preserve">Meta </t>
  </si>
  <si>
    <t>NA</t>
  </si>
  <si>
    <t>Consolidar y publicar el Plan de Acción Integrado</t>
  </si>
  <si>
    <t>Publicar en la página web de la entidad, el Plan de Acción Integrado aprobado por el Comité Institucional de Gestión y Desempeño, conforme al Decreto 612 de 2018.</t>
  </si>
  <si>
    <t>Fortalecer los canales de anticorrupción y el relacionamiento estratégico</t>
  </si>
  <si>
    <t>Gestión con valores para resultados</t>
  </si>
  <si>
    <t>Transparencia, acceso a la información pública y lucha contra la corrupción</t>
  </si>
  <si>
    <t>Rendición de Cuentas</t>
  </si>
  <si>
    <t>Diálogo</t>
  </si>
  <si>
    <t>Efectuar convocatoria e intervención ciudadana a nuestra planeación institucional</t>
  </si>
  <si>
    <t>Realizar la convocatoria para la participación de las partes interesadas sobre la formulación de la planeación estratégica institucional para la vigencia 2024</t>
  </si>
  <si>
    <t>Convocatorias de intervención ciudadana</t>
  </si>
  <si>
    <t>Incentivos</t>
  </si>
  <si>
    <t>Realizar invitación a las veedurías ciudadanas para que ejerzan control social</t>
  </si>
  <si>
    <t>Realizar campañas a través de redes sociales, invitando a las veedurías ciudadanas a ejercer control  social a la gestión de CISA.</t>
  </si>
  <si>
    <t>Número de campañas realizadas</t>
  </si>
  <si>
    <t>Número de convocatorias de intervención ciudadana realizadas</t>
  </si>
  <si>
    <t>Evaluación y retroalimentación</t>
  </si>
  <si>
    <t>Realizar campaña de retroalimentación con los grupos de interés</t>
  </si>
  <si>
    <t>Realizar campaña a través de redes sociales, invitando a los grupos de interés a manifestar  sus intereses y necesidades de información, los cuales serán tenidos en cuenta por las áreas de la entidad.</t>
  </si>
  <si>
    <t xml:space="preserve">Campañas de invitación dirigidas a veedurías ciudadanas </t>
  </si>
  <si>
    <t>Campañas de invitación dirigidas a los grupos de interés</t>
  </si>
  <si>
    <t>Número de informes realizados</t>
  </si>
  <si>
    <t>Número - Informe</t>
  </si>
  <si>
    <t xml:space="preserve">Fortalecer la gestión institucional mediante el seguimiento al avance en la ejecución del Plan de Acción Integrado </t>
  </si>
  <si>
    <t>Número de informes se seguimiento elaborados y publicados en la página web de la entidad</t>
  </si>
  <si>
    <t>Número de planes consolidados y publicados en la página web</t>
  </si>
  <si>
    <t xml:space="preserve">Plan de Acción Integrado consolidado y publicado </t>
  </si>
  <si>
    <t>Dirección de Planeación Estratégica y Sistemas de Información</t>
  </si>
  <si>
    <t>Analista de Planeación / Dirección de Planeación Estratégica y Sistemas de Información</t>
  </si>
  <si>
    <t>Número - Captura de pantalla</t>
  </si>
  <si>
    <t xml:space="preserve">Ejercer la defensa jurídica de la entidad </t>
  </si>
  <si>
    <t>Número de informes de la gestión de las actividades para ejercer la defensa jurídica</t>
  </si>
  <si>
    <t xml:space="preserve">Fortalecer la defensa judicial y la conceptualización </t>
  </si>
  <si>
    <t>Capacitar a los abogados internos de CISA</t>
  </si>
  <si>
    <t>Número de capacitaciones realizadas</t>
  </si>
  <si>
    <t xml:space="preserve">Dirección Jurídica </t>
  </si>
  <si>
    <t xml:space="preserve">Abogada/ Dirección jurídica </t>
  </si>
  <si>
    <t xml:space="preserve">Conciliar las obligaciones de cartera inmersas en procesos en contra </t>
  </si>
  <si>
    <t>Ejercer la facultad de conciliación para disminuir los procesos en contra de obligaciones de cartera</t>
  </si>
  <si>
    <t xml:space="preserve">Conciliar la obligaciones de cartera </t>
  </si>
  <si>
    <t xml:space="preserve">Jefe de Procesos judiciales / Dirección jurídica </t>
  </si>
  <si>
    <t>Reformar los estatutos y procedimientos internos</t>
  </si>
  <si>
    <t>Reforma de estatutos y revisión de procedimientos internos con ocasión a la reestructuración de la entidad</t>
  </si>
  <si>
    <t xml:space="preserve">Reforma de estatutos </t>
  </si>
  <si>
    <t xml:space="preserve">Número de estatutos reformados </t>
  </si>
  <si>
    <t xml:space="preserve">Jefe de Conceptos / Dirección Jurídica </t>
  </si>
  <si>
    <t>Modificar las circulares que incluyan emisiones de conceptos</t>
  </si>
  <si>
    <t xml:space="preserve">Modificación de circulares normativas relacionadas con la emisión de conceptos </t>
  </si>
  <si>
    <t xml:space="preserve">Modificación de circulares </t>
  </si>
  <si>
    <t xml:space="preserve">Sumatoria de  circulares modificadas </t>
  </si>
  <si>
    <t xml:space="preserve">Generar valor social y económico </t>
  </si>
  <si>
    <t>Valor compartido</t>
  </si>
  <si>
    <t>Generar valor compartido desde las líneas de negocio</t>
  </si>
  <si>
    <t>Informes de gestión realizados</t>
  </si>
  <si>
    <t>Dirección de Comunicaciones, Mercadeo y Relacionamiento</t>
  </si>
  <si>
    <t>Directora de Comunicaciones/Dirección de Comunicaciones, Mercadeo y Relacionamiento</t>
  </si>
  <si>
    <t>Técnico de Comunicaciones Corporativas/ Dirección de Comunicaciones, Mercadeo y Relacionamiento</t>
  </si>
  <si>
    <t>Operar con transparencia</t>
  </si>
  <si>
    <t>Técnico de Comunicaciones Corporativas / Dirección de Comunicaciones, Mercadeo y Relacionamiento</t>
  </si>
  <si>
    <t>Informe ejecutivo de ejecución del plan de accesibilidad</t>
  </si>
  <si>
    <t>Cumplir con los lineamientos de la guía de lenguaje claro del PNSC-DNP</t>
  </si>
  <si>
    <t>Informe de gestión</t>
  </si>
  <si>
    <t xml:space="preserve">Realizar seguimiento a la implementación del Plan de Accesibilidad </t>
  </si>
  <si>
    <t>Informe ejecutivo de ejecución plan de accesibilidad</t>
  </si>
  <si>
    <t>Dar a conocer con transparencia los resultados de la gestión de CISA a todos los ciudadanos</t>
  </si>
  <si>
    <t>Informe de gestión realizado</t>
  </si>
  <si>
    <t>Propender por el cumplimiento de las necesidades y expectativas de los ciudadanos mediante la entrega de información oportuna, veraz y confiable</t>
  </si>
  <si>
    <t xml:space="preserve">Sumatoria de informes ejecutivos acerca del cumplimiento de las necesidades y expectativas de los ciudadanos </t>
  </si>
  <si>
    <t>Gestion con Valores para Resultados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</si>
  <si>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</si>
  <si>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</si>
  <si>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</si>
  <si>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 xml:space="preserve">Desarrollar ejercicios de participación previo a la rendición de cuentas </t>
  </si>
  <si>
    <t>Desarrollo de ejercicios y campaña previa a la rendición con la ciudadanía.</t>
  </si>
  <si>
    <t>Ejecutar la Rendición de Cuentas Vigencia 2022</t>
  </si>
  <si>
    <t>Ejecución del evento en vivo vía Streaming</t>
  </si>
  <si>
    <t>Generar encuesta de percepción sobre la audiencia pública de rendición de cuentas</t>
  </si>
  <si>
    <t>Desarrollo de ejercicios y campaña posteriores a la rendición de cuentas con la ciudadanía.</t>
  </si>
  <si>
    <t>Mecanismos para la transparencia y acceso a la información</t>
  </si>
  <si>
    <t>Lineamientos de Transparencia Activa, Criterio Diferencial de Accesibilidad y Monitoreo al acceso a la información pública</t>
  </si>
  <si>
    <t xml:space="preserve">Presentar el cumplimiento de la Ley de Transparencia </t>
  </si>
  <si>
    <t>Informe de Cumplimiento Matriz ITA</t>
  </si>
  <si>
    <t>Transparencia, Acceso a la Información Pública y Lucha Contra la Corrupción</t>
  </si>
  <si>
    <t>Mecanismos para mejorar la atención al ciudadano</t>
  </si>
  <si>
    <t>Relacionamiento con el Ciudadano</t>
  </si>
  <si>
    <t>Realizar la presentación del informe semestral de PQRD y Tramites</t>
  </si>
  <si>
    <t xml:space="preserve">La primer presentación del informe de  PQRD y Tramites al CIGD, corresponderá al 2do semestre 2022. La segunda presentación del informe de  PQRD y Tramites al CIGD, corresponderá al 1er  semestre 2023. </t>
  </si>
  <si>
    <t>Presentación del informe de resultados de PQRD y Tramites</t>
  </si>
  <si>
    <t>Número de presentaciones realizadas</t>
  </si>
  <si>
    <t>Realizar presentación del informe semestral: resultados encuesta satisfacción/percepción</t>
  </si>
  <si>
    <t>Realizar la presentación del informe de  resultados producto de la aplicación de las encuestas de satisfacción y  percepción al CIGD, con respecto al  1er semestre 2023</t>
  </si>
  <si>
    <t xml:space="preserve">Presentación del informe de resultados de la encuesta de satisfacción y percepción </t>
  </si>
  <si>
    <t>Publicar presentación de resultados: encuesta de satisfacción/percepción bimestral</t>
  </si>
  <si>
    <t>Obtener las bases de PQRD y Tramite, donde se atendieron las solicitudes de los ciudadanos en el 2023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</si>
  <si>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Presentación de resultados encuesta de satisfacción y percepción bimestral publicada en Intranet</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</si>
  <si>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</si>
  <si>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</si>
  <si>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</si>
  <si>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 xml:space="preserve">Campañas y/o capacitaciones a los procesos sobre la atención de solicitudes de los ciudadanos implementadas </t>
  </si>
  <si>
    <t>Número de campañas y/o capacitaciones realizadas</t>
  </si>
  <si>
    <t>Estructura administrativa y direccionamiento estratégico</t>
  </si>
  <si>
    <t xml:space="preserve">Realizar seguimiento a las sugerencias de la encuesta de satisfacción/percepción </t>
  </si>
  <si>
    <t xml:space="preserve">Informes ejecutivos acerca de la implementación de las sugerencias </t>
  </si>
  <si>
    <t>Directora de Comunicaciones, Mercadeo y Relacionamiento / Dirección de Comunicaciones, Mercadeo y Relacionamiento</t>
  </si>
  <si>
    <t>Directora de Comunicaciones, Mercadeo y Relacionamiento/ Dirección de Comunicaciones, Mercadeo y Relacionamiento</t>
  </si>
  <si>
    <t>Generar iniciativas de innovación</t>
  </si>
  <si>
    <t>Realizar iniciativas de innovación teniendo en cuenta el rumbo estratégico de CISA 2023-2026</t>
  </si>
  <si>
    <t>Iniciativas generadas</t>
  </si>
  <si>
    <t>Número de iniciativas</t>
  </si>
  <si>
    <t>Líder de seguimiento estratégico / Dirección de Planeación Estratégica y Sistemas de Información</t>
  </si>
  <si>
    <t>Implementar los procesos de gestión de información estadística de la entidad</t>
  </si>
  <si>
    <t>Procesos implementados</t>
  </si>
  <si>
    <t>Número de procesos</t>
  </si>
  <si>
    <t>Implementar acciones de gestión del conocimiento</t>
  </si>
  <si>
    <t>Realizar iniciativas de gestión del conocimiento teniendo en cuenta el rumbo estratégico de CISA 2023-2026</t>
  </si>
  <si>
    <t>Acciones implementadas</t>
  </si>
  <si>
    <t>Número de acciones</t>
  </si>
  <si>
    <t>Incluye la gestión integral de los componentes de gestión de la información estadística y registros administrativos, inventario, producción, análisis y publicación de la información.</t>
  </si>
  <si>
    <t>Validar quejas y denuncias de los servidores de la entidad</t>
  </si>
  <si>
    <t>Evaluar la información proveniente de quejas y denuncias recibidas donde se involucren servidores de la entidad, para la identificación de posibles riesgos de fraude y corrupción, generando el respectivo informe o plan de tratamiento</t>
  </si>
  <si>
    <t>Analista de Riesgos / Dirección de Planeación Estratégica y Sistemas de Información</t>
  </si>
  <si>
    <t>Alinear el mapa de riesgos institucional, con la nueva planeación estratégica de la entidad, orientado a la identificación, seguimiento y control de los riesgos de corrupción</t>
  </si>
  <si>
    <t>Número de actividades ejecutadas de revisión, actualización, divulgación, monitoreo y seguimiento de riesgos.</t>
  </si>
  <si>
    <t xml:space="preserve">Número - Informe </t>
  </si>
  <si>
    <t>Gestión de Riesgos de Corrupción</t>
  </si>
  <si>
    <t>Construcción de Mapa de Riesgos de Corrupción</t>
  </si>
  <si>
    <t xml:space="preserve">Informes con la actualización del mapa de riesgos </t>
  </si>
  <si>
    <t xml:space="preserve">Número de informes con la actualizaciones del mapa de riesgos </t>
  </si>
  <si>
    <t>Informes de monitoreo de controles riesgos presentados y publicados</t>
  </si>
  <si>
    <t>Número de informes presentados y publicados</t>
  </si>
  <si>
    <t>Consulta y Divulgación</t>
  </si>
  <si>
    <t xml:space="preserve">Publicar el mapa de riesgos </t>
  </si>
  <si>
    <t>Publicar el mapa de riesgos en la página web de la entidad o en un medio de fácil acceso al ciudadano, a más tardar el 31 de enero del 2023</t>
  </si>
  <si>
    <t xml:space="preserve"> Mapa de riesgos publicado</t>
  </si>
  <si>
    <t>Número de mapas de riesgos publicados</t>
  </si>
  <si>
    <t>Número - Link de publicación</t>
  </si>
  <si>
    <t>Realizar campañas internas sobre la gestión de riesgos</t>
  </si>
  <si>
    <t>Realizar 2 campañas a través de los diferentes medios de comunicación institucionales, sobre la actualización del mapa de riesgos de la entidad</t>
  </si>
  <si>
    <t>Informes de las Campañas realizadas</t>
  </si>
  <si>
    <t xml:space="preserve">Número de informes de las campañas realizados  </t>
  </si>
  <si>
    <t>Monitoreo y revisión</t>
  </si>
  <si>
    <t>Realizar seguimiento al estado del monitoreo de los riesgos</t>
  </si>
  <si>
    <t>Informes de seguimiento de monitoreo de riesgos presentados y socializados</t>
  </si>
  <si>
    <t>número de informes presentados y socializados ante los lideres de procesos</t>
  </si>
  <si>
    <t>Dar cumplimiento a lo establecido en la Ley 1474 de 2011 (Estatuto Anticorrupción) y Decreto 124 de 2016 (Plan Anticorrupción y de Atención al Ciudadano)</t>
  </si>
  <si>
    <t>Gestión con Valores para Resultados</t>
  </si>
  <si>
    <t>Realizar seguimiento al Mapa de Riesgos de Corrupción</t>
  </si>
  <si>
    <t>Seguimiento cuatrimestral al Mapa de Riesgos de Corrupción de la Entidad.</t>
  </si>
  <si>
    <t>Seguimiento al Mapa de Riesgos de Corrupción</t>
  </si>
  <si>
    <t>Número de informes de seguimiento</t>
  </si>
  <si>
    <t>Auditoría Interna</t>
  </si>
  <si>
    <t>Auditor Interno / Auditoría Interna</t>
  </si>
  <si>
    <t>Auditor de Gestión / Auditoria Interna</t>
  </si>
  <si>
    <t>Implementar la estrategia de racionalización de trámites de la entidad</t>
  </si>
  <si>
    <t>Etapas de la estrategia de racionalización de trámites, ejecutadas</t>
  </si>
  <si>
    <t xml:space="preserve">Número - Acta </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</si>
  <si>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</si>
  <si>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</si>
  <si>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</si>
  <si>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</si>
  <si>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Trámites revisados para racionalización</t>
  </si>
  <si>
    <t>Porcentaje - Acta</t>
  </si>
  <si>
    <t>Jefe de Procesos y Productividad / Jefatura de Procesos y Productividad</t>
  </si>
  <si>
    <t>Ingeniero de Mejoramiento Continuo / 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</si>
  <si>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</si>
  <si>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</si>
  <si>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</si>
  <si>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Trámites priorizados para racionalización</t>
  </si>
  <si>
    <t>Número de trámites priorizados</t>
  </si>
  <si>
    <t>Número - Acta</t>
  </si>
  <si>
    <t>Formular estrategia de racionalización del trámite elegido</t>
  </si>
  <si>
    <t>ETAPA 3: De acuerdo con la priorización realizada, establecer las acciones de racionalización administrativa</t>
  </si>
  <si>
    <t>Estrategias formuladas para el periodo</t>
  </si>
  <si>
    <t>Número de estrategias formuladas</t>
  </si>
  <si>
    <t>Implementar acciones de racionalización administrativa - 1</t>
  </si>
  <si>
    <t>Actividades ejecutadas para la implementación de la estrategia de racionalización</t>
  </si>
  <si>
    <t>Número de actividades ejecutadas / número de actividades planeadas</t>
  </si>
  <si>
    <t>Divulgar los impactos generados con la implementación de la estrategia de racionalización</t>
  </si>
  <si>
    <t>Generar campañas internas y externas que den a conocer los principales resultados de la estrategia de racionalización de trámites implementada</t>
  </si>
  <si>
    <t>Campañas internas y externas implementadas</t>
  </si>
  <si>
    <t>Número de campañas internas y externas implementadas</t>
  </si>
  <si>
    <t>Promover el control disciplinario interno de CISA, propendiendo por la efectividad de los principios y fines previstos en la Constitución Política y la Ley</t>
  </si>
  <si>
    <t>Número de informes de la gestión disciplinaria elaborados</t>
  </si>
  <si>
    <t>Fortalecer el enfoque preventivo de la función disciplinaria</t>
  </si>
  <si>
    <t>Generar 2 espacios de divulgación sobre temas disciplinarios</t>
  </si>
  <si>
    <t>Espacios para la divulgación de temas disciplinarios a los funcionarios de CISA</t>
  </si>
  <si>
    <t>Número de espacios de divulgación generados</t>
  </si>
  <si>
    <t>Número - Evidencias espacios de divulgación</t>
  </si>
  <si>
    <t>Jefe Control Disciplinario Interno / Control Disciplinario Interno</t>
  </si>
  <si>
    <t>Abogado Control Disciplinario Interno / Control Disciplinario Interno</t>
  </si>
  <si>
    <t>Ejercer la función disciplinaria de conformidad con la ley vigente</t>
  </si>
  <si>
    <t>Tramitar las novedades disciplinarias puestas en conocimiento de la Oficina de Control Disciplinario Interno</t>
  </si>
  <si>
    <t>Gestión de las novedades disciplinarias</t>
  </si>
  <si>
    <t xml:space="preserve">Número de novedades disciplinarias gestionadas/ Número de novedades disciplinarias recibidas </t>
  </si>
  <si>
    <t>Porcentaje - Informe</t>
  </si>
  <si>
    <t xml:space="preserve">Generar información para que la ciudadanía tenga conocimiento de las entidades públicas, con las que CISA se encuentra valorando soluciones para la gestión de activos públicos  </t>
  </si>
  <si>
    <t>Número soluciones o propuestas valoradas publicadas en la web</t>
  </si>
  <si>
    <t>Número - Reporte</t>
  </si>
  <si>
    <t>Vicepresidencia de Soluciones para el Estado</t>
  </si>
  <si>
    <t>Gerente de Valoración / Vicepresidencia de Soluciones para el Estado</t>
  </si>
  <si>
    <t>Analista de Negocios / Vicepresidencia de Soluciones para el Estado</t>
  </si>
  <si>
    <t>Generar escenarios de articulación o participación incidente con diferentes actores sociales, que faciliten la gestión de los activos que posee y pueda gestionar CISA y socializar el proceso y resultados</t>
  </si>
  <si>
    <t>Número de escenarios generados con los actores sociales involucrados</t>
  </si>
  <si>
    <t>Mecanismo para transparencia y acceso a la información</t>
  </si>
  <si>
    <t xml:space="preserve">Generar escenarios de articulación o participación incidente con diferentes actores sociales, que faciliten la gestión de los activos que posee y pueda gestionar CISA </t>
  </si>
  <si>
    <t>Escenarios generados con los actores sociales involucrados</t>
  </si>
  <si>
    <t>Gerente Social / Vicepresidencia de Soluciones para el Estado</t>
  </si>
  <si>
    <t>Socializar el proceso y resultado  de la gestión de activos con los actores sociales involucrados</t>
  </si>
  <si>
    <t>Generados los espacios de articulación o participación  con los actores sociales involucrados, se  socializará el avance de las gestiones de los activos sobre los cuales se realizan acciones</t>
  </si>
  <si>
    <t>Socialización del proceso y resultados de la gestión de activos realizada con los actores sociales</t>
  </si>
  <si>
    <t>Número de procesos de socialización realizados</t>
  </si>
  <si>
    <t xml:space="preserve">Vicepresidencia de Operaciones </t>
  </si>
  <si>
    <t xml:space="preserve">Gerente Comercial / Vicepresidencia de Operaciones </t>
  </si>
  <si>
    <t xml:space="preserve">Brindar espacios de interacción y retroalimentación con los grupos de interés </t>
  </si>
  <si>
    <t>Número de espacios de interacción y retroalimentación realizados</t>
  </si>
  <si>
    <t>Espacios de interacción con los grupos de interés definidos</t>
  </si>
  <si>
    <t>Sumatoria de espacios de interacción con grupos de interés generados</t>
  </si>
  <si>
    <t xml:space="preserve">Gerente de cartera / Vicepresidencia de Operaciones </t>
  </si>
  <si>
    <t xml:space="preserve">Ejecutivo de Operaciones/ Vicepresidencia de operaciones </t>
  </si>
  <si>
    <t xml:space="preserve">Gerente Inmobiliario/ Vicepresidencia de Operaciones </t>
  </si>
  <si>
    <t>Sumatoria de documentos de acuerdos de Interoperabilidad realizados</t>
  </si>
  <si>
    <t>Numero - Documento</t>
  </si>
  <si>
    <t>Estructurar y gestionar  proyectos de transformación digital definidos en la Entidad</t>
  </si>
  <si>
    <t>Número - Documento</t>
  </si>
  <si>
    <t>Gerente de Sistemas de información / Gerencia Sistemas de información</t>
  </si>
  <si>
    <t>Líder de Gobierno Digital / Gerencia de Sistemas de información</t>
  </si>
  <si>
    <t xml:space="preserve">Implementar los componentes y las actividades para el alcance del proyecto de analítica de datos de cartera, dando valor a los datos para la toma de decisiones.
</t>
  </si>
  <si>
    <t>Porcentaje de avance de implementación del proyecto</t>
  </si>
  <si>
    <t>Número de actividades ejecutadas / Número de actividades programadas</t>
  </si>
  <si>
    <t xml:space="preserve">	Cumplir, en todas las secciones de la página web con el criterio de usabilidad URL limpio</t>
  </si>
  <si>
    <t xml:space="preserve">	Revisar y ajustar las URLs de la página web rediseñada, garantizando que se cumpla con la recomendación "Cumplir, en todas las secciones de la página web oficial de la entidad, con el criterio de usabilidad "URL limpio" para que las URLs generadas en los diferentes niveles de navegación no tengan caracteres especiales y sean fáciles de leer."</t>
  </si>
  <si>
    <t>Gerente de Sistemas de Información / Gerencia de  Sistemas de Información</t>
  </si>
  <si>
    <t>Líder de Gobierno Digital / Gerencia de  Sistemas de Información</t>
  </si>
  <si>
    <t>Generar  información financiera que  facilite la toma de decisiones estratégicas</t>
  </si>
  <si>
    <t>Número de informes generados</t>
  </si>
  <si>
    <t>Realizar informe de conciliación de inventario de bienes inmuebles de CISA</t>
  </si>
  <si>
    <t>Realizar la conciliación del inventario de bienes inmuebles de CISA entre la Contabilidad y la información de la Gerencia de Inmuebles</t>
  </si>
  <si>
    <t xml:space="preserve">informes de conciliación de inventario de bienes inmuebles </t>
  </si>
  <si>
    <t xml:space="preserve">Sumatoria de informes elaborados </t>
  </si>
  <si>
    <t>Analista de Contabilidad / Gerencia Financiera</t>
  </si>
  <si>
    <t>Analista Financiero y de Presupuesto / Gerencia Financiera</t>
  </si>
  <si>
    <t>Informes de seguimiento de la implementación del costeo basado en actividades</t>
  </si>
  <si>
    <t>Ejecutivo Financiero / Gerencia Financiera</t>
  </si>
  <si>
    <t>Vicepresidencia Corporativa</t>
  </si>
  <si>
    <t>Fortalecer la transparencia del proceso contractual con el fin de garantizar el ejercicio de control ciudadano</t>
  </si>
  <si>
    <t>Número de informes de las actividades realizadas para fortalecer la transparencia</t>
  </si>
  <si>
    <t>Publicar la actividad contractual de los procesos  contratación en SECOP II</t>
  </si>
  <si>
    <t>Publicación de la actividad contractual de los procesos de contratación en SECOP II</t>
  </si>
  <si>
    <t>Publicación de los contratos en SECOP II</t>
  </si>
  <si>
    <t>Número de contratos publicados / Número de contratos en ejecución</t>
  </si>
  <si>
    <t xml:space="preserve">Abogada Gerencia de Contratación / Gerencia de Contratación </t>
  </si>
  <si>
    <t xml:space="preserve"> Abogada Gerencia de Contratación / Gerencia de Contratación </t>
  </si>
  <si>
    <t xml:space="preserve">Validar que el objeto contractual de los contratos y convenios interadministrativos, se encuentren conforme al objeto social de CISA; dar visto bueno al objeto contractual de los contratos y convenios interadministrativos que radican las áreas. </t>
  </si>
  <si>
    <t>Contratos y convenios interadministrativos revisados</t>
  </si>
  <si>
    <t xml:space="preserve">Número de contratos y convenios interadministrativos revisados / Número de contratos y convenios interadministrativos allegados </t>
  </si>
  <si>
    <t xml:space="preserve">Senior Gerencia de Contratación / Gerencia de Contratación </t>
  </si>
  <si>
    <t>Fortalecer el Gobierno Corporativo</t>
  </si>
  <si>
    <t>Formulación integral de buenas prácticas de gobernanza corporativa</t>
  </si>
  <si>
    <t>Consolidar el Gobierno Corporativo con enfoque diferencial y de género</t>
  </si>
  <si>
    <t>Definir el nuevo modelo de Gestión del Talento Humano a través de la ejecución de los planes asociados</t>
  </si>
  <si>
    <t>Sumatoria de Planes Internos Ejecutados</t>
  </si>
  <si>
    <t>Ejecutar Plan de Incentivos</t>
  </si>
  <si>
    <t>Plan de incentivos ejecutado</t>
  </si>
  <si>
    <t>Número de actividades  ejecutadas</t>
  </si>
  <si>
    <t>Gerencia de Recursos</t>
  </si>
  <si>
    <t>Gerente de Recursos/Gerencia de Recursos</t>
  </si>
  <si>
    <t>Analista de Servicios Generales/Gerencia de Recursos</t>
  </si>
  <si>
    <t xml:space="preserve">Mantener y actualizar el sistema de gestión de Seguridad y Salud en el trabajo en CISA </t>
  </si>
  <si>
    <t>Plan de seguridad y salud en el trabajo ejecutado</t>
  </si>
  <si>
    <t>Ejecutar Plan Institucional de Capacitación</t>
  </si>
  <si>
    <t>Fortalecer las competencias tecnicas y blandas de los colaboradores de CISA en el 2023</t>
  </si>
  <si>
    <t>Plan institucional de capacitación ejecutado</t>
  </si>
  <si>
    <t>Definir Modelo de Competencias</t>
  </si>
  <si>
    <t>Establecer las nuevas competencias organizacionales por nivel de contribución</t>
  </si>
  <si>
    <t>Actualización de la matriz de competencias organizaciones por nivel de contribución</t>
  </si>
  <si>
    <t>Número de matrices actualizadas</t>
  </si>
  <si>
    <t>Mantener el modelo EFR</t>
  </si>
  <si>
    <t>Definir los incentivos a aplicar en el marco del modelo EFR</t>
  </si>
  <si>
    <t>Actualización de la tiquetera de la felicidad</t>
  </si>
  <si>
    <t>Tiquetera actualizada</t>
  </si>
  <si>
    <t>Analizar el nivel de participación en el modelos EFR</t>
  </si>
  <si>
    <t>Revisar el nivel de uso de los beneficios emocionales, enfocado a que mínimo el 90% de los colaboradores activos en la planta, hagan uso de los beneficios emocionales.</t>
  </si>
  <si>
    <t>Personas que hacen uso de los beneficios emocionales</t>
  </si>
  <si>
    <t>Número de Personas que utilizan beneficios /Número de total de las personas de planta</t>
  </si>
  <si>
    <t xml:space="preserve">Mantener y actualizar el Sistema de Gestión de Seguridad y Salud en el Trabajo de CISA </t>
  </si>
  <si>
    <t>Mantener y actualizar el Sistema de Seguridad y Salud en el Trabajo de CISA</t>
  </si>
  <si>
    <t>Mantener y actualizar el Sistema de Seguridad y Salud en el Trabajo de CISA, conforme al marco legal vigente</t>
  </si>
  <si>
    <t>Definir el plan de capacitación año 2023</t>
  </si>
  <si>
    <t>1. Realizar la consulta a traves de correo electronico a los lideres de la entidad, sobre las necesidades de capacitación en habilidades tecnicas de cada uno de sus equipos de trabajo.
2.Establecer los grupos de interes con respecto a las necesidades de capacitación y verificar la pertinencia de su ejecución.
3. Elabora el plan de capacitación año 2023.</t>
  </si>
  <si>
    <t>Plan de Capacitación del año 2023 formulado</t>
  </si>
  <si>
    <t>Sumatoria de planes formulados</t>
  </si>
  <si>
    <t>Ejecutar el Plan de Capacitación año 2023</t>
  </si>
  <si>
    <t>Plan de capacitación año 2023 ejecutado</t>
  </si>
  <si>
    <t>Sumatoria de informes realizados</t>
  </si>
  <si>
    <t>Acta del CIGD avalando las TRD actualizadas</t>
  </si>
  <si>
    <t>Sumatoria de actas del CIGD</t>
  </si>
  <si>
    <t xml:space="preserve">Gestión Documental </t>
  </si>
  <si>
    <t>Sumatoria de documentos de radicación</t>
  </si>
  <si>
    <t>Gestión con valores  para resultados</t>
  </si>
  <si>
    <t>Gobierno Digital</t>
  </si>
  <si>
    <t xml:space="preserve">Avanzar en el dominio ESTRATEGIA DE TI </t>
  </si>
  <si>
    <t xml:space="preserve">
Teniendo en cuenta que en la vigencia 2022 se reportó un avance de 66% en el dominio ESTRATEGIA DE TI, para el 2023 se dará continuidad en este dominio alineándolo con el Dominio de Planeación de Arquitectura Empresarial definido en el Modelo de Arquitectura Empresarial (MAE) v2. Se definirá un proyecto para alinear al nuevo dominio de planeación   y buscar al 85%, donde se dará planeación, estructuración y priorización de los ejercicios de arquitectura empresarial a partir de las necesidades de los interesados.
</t>
  </si>
  <si>
    <t xml:space="preserve">Porcentaje de avance de implementación del dominio </t>
  </si>
  <si>
    <t>Avanzar en el dominio GOBIERNO DE TI</t>
  </si>
  <si>
    <t xml:space="preserve">Teniendo en cuenta que en la vigencia 2022 se reportó un avance de 55% en el dominio INFORMACIÓN, para el 2023 se dará continuidad en este dominio alineándolo con el Dominio de Arquitectura de Información definido en el  Modelo de Arquitectura Empresarial (MAE) v2.
Se definirá un proyecto para alinear  al nuevo dominio de Arquitectura de Información y buscar  un avance al 65%, donde se iniciará y adelantará la fase II de las brechas digitales para lograr el cumplimiento de los lineamientos de la política de gobierno Digital en el dominio Arquitectura de información del MAE. Para definir la estructura con la cual está representada y almacenada la información los datos de una organización, lo mismo que los servicios y los flujos de información que soportan los procesos de la entidad de la arquitectura misional.
</t>
  </si>
  <si>
    <t>Avanzar en el dominio SISTEMAS DE INFORMACIÓN</t>
  </si>
  <si>
    <t xml:space="preserve">
Teniendo en cuenta que en la vigencia 2022 se reportó un avance de 50% en  dominio SISTEMAS DE INFORMACIÓN, para el 2023 se dará continuidad en este dominio alineándolo con el Dominio de Arquitectura de Sistemas Información definido en el  Modelo de Arquitectura Empresarial (MAE) v2. Se definirá un proyecto para alinear  al nuevo  dominio de Arquitectura de Sistemas de Información bajo el MAE con objetivo de avanzar al 60%, donde se iniciará y adelantará la fase II de las brechas para lograr el cumplimiento de los lineamientos de la política de gobierno Digital en el dominio Arquitectura de Sistemas de Información del MAE. Para definición de la arquitectura de aplicaciones que define los componentes de los sistemas, las interacciones entre estos y la relación con las arquitecturas misional, de información y de infraestructura de TI.
</t>
  </si>
  <si>
    <t>Avanzar en el dominio de USO Y APROPIACION</t>
  </si>
  <si>
    <t xml:space="preserve">Teniendo en cuenta que en la vigencia 2022 se reportó un avance de 27% en el dominio de USO Y APROPIACION para el 2023 se dará continuidad en este dominio alineándolo con el Dominio de  Uso y Apropiación de la Arquitectura definido en el  Modelo de Arquitectura Empresarial (MAE) v2.
Se definirá un proyecto para alinear  con el nuevo dominio de Uso y apropiación del MAE con objetivo de avance al 40%, donde se iniciará y adelantará la fase II de las brechas para lograr el cumplimiento de los lineamientos de la política de gobierno Digital en el Dominio  de Uso y apropiación del MAE. Establecer y adelantar la fase II de las brechas digitales para lograr el cumplimiento de los lineamientos de la política de gobierno Digital en el dominio de Uso y Apropiación de la Arquitectura del MAE, para la gestión del cambio y de los grupos de interés, para desarrollar una cultura o comportamientos culturales  que faciliten la adopción y uso de las arquitecturas objetivo.
</t>
  </si>
  <si>
    <t>Articular el  Dominio de Arquitectura de Seguridad</t>
  </si>
  <si>
    <t xml:space="preserve">
Teniendo en cuenta que en nueva versión de Arquitectura Empresarial (AE) v2,  se presenta un  nuevo Dominio de Arquitectura de Seguridad  y se alineará con los otros 6  dominios para lograr el cumplimiento de los lineamientos de la política de gobierno Digital en el Dominio  de Arquitectura de Seguridad del MAE, para establecer y adelantar la fase II de las brechas digitales para lograr el cumplimiento de los lineamientos de la política de gobierno Digital en el dominio  Arquitectura de Seguridad del MAE; se aportara la identificación y diseño de los controles necesarios para asegurar la protección de la información.
</t>
  </si>
  <si>
    <t xml:space="preserve">Realizar espacios de dialogo en doble vía con grupos de interés de la Gerencia de Cartera </t>
  </si>
  <si>
    <t>Realizar espacios de dialogo en doble vía con grupos de interés de la Gerencia Inmobiliaria</t>
  </si>
  <si>
    <t>Realizar espacios de dialogo en doble vía con grupos de interés de la Gerencia Comercial</t>
  </si>
  <si>
    <t>Lineamientos de transparencia pasiva</t>
  </si>
  <si>
    <t>Instrumentos de Gestión de la Información</t>
  </si>
  <si>
    <t xml:space="preserve">Número - Informe                                </t>
  </si>
  <si>
    <t>Número de informes</t>
  </si>
  <si>
    <t>Número -  Documento</t>
  </si>
  <si>
    <t>Número - Circular</t>
  </si>
  <si>
    <t>Porcentaje - Captura de pantalla</t>
  </si>
  <si>
    <t xml:space="preserve">Abogada/Dirección jurídica </t>
  </si>
  <si>
    <t>Número -  Informe</t>
  </si>
  <si>
    <t xml:space="preserve">Número -  Informe </t>
  </si>
  <si>
    <t>Número -  Matriz</t>
  </si>
  <si>
    <t xml:space="preserve">Número - Plan </t>
  </si>
  <si>
    <t>Número - Campañas y/o capacitaciones</t>
  </si>
  <si>
    <t>Número - Presentación</t>
  </si>
  <si>
    <t>Número de conciliaciones  realizadas / Número de conciliaciones notificadas</t>
  </si>
  <si>
    <t xml:space="preserve">Informe de análisis de riesgos derivados de quejas y denuncias </t>
  </si>
  <si>
    <t xml:space="preserve">Número de informes de análisis de riesgos elaborados  </t>
  </si>
  <si>
    <t>Implementar nuevas tecnologías en la entidad para optimizar la utilización de la información, mediante acuerdos de Interoperabilidad con otras entidades del Estado</t>
  </si>
  <si>
    <t xml:space="preserve">Estructurar y gestionar 3 proyectos de Transformación Digital (Herramienta ITSM -Information Technology Service Management software, Gestor Documental -  ORFEO, Enterprise Resource Planning - ERP),  identificados y propuestos en conjunto con las áreas de la entidad y el equipo de Transformación Digital, para fortalecer los servicios  que apunten a la misionalidad de la entidad. </t>
  </si>
  <si>
    <t>Proyectos de Transformación Digital estructurados y gestionados</t>
  </si>
  <si>
    <t>Sumatoria de Proyectos de Transformación Digital estructurados y gestionados</t>
  </si>
  <si>
    <t>Líder de Comunicaciones/Dirección de Comunicaciones, Mercadeo y Relacionamiento</t>
  </si>
  <si>
    <t>Mejorar la accesibilidad de la ciudadanía contemplando el enfoque diferencial de discapacidad</t>
  </si>
  <si>
    <t>Realizar seguimiento a la ejecución de las actividades descritas en el plan de accesibilidad por diferentes según los procesos competentes para ejecutar el plan: Tecnología, Comunicaciones y Mercadeo, Oficial de Seguridad de la Información y Relacionamiento con la Ciudadanía.</t>
  </si>
  <si>
    <t>Generar informes de valoración de las soluciones de los activos de entidades públicas</t>
  </si>
  <si>
    <t xml:space="preserve">Generar informes de valoración de las soluciones de los activos de entidad publicas, sobre los cuales saldrá el reporte de las entidades del orden Nacional y Territorial con las que  CISA establece relaciones potenciales de soluciones sobre los activos que poseen. </t>
  </si>
  <si>
    <t>Informes de valoración elaborados</t>
  </si>
  <si>
    <t>Número de informes de valoración elaborados</t>
  </si>
  <si>
    <t>Realizar implementación del sistema de costos basado en actividades</t>
  </si>
  <si>
    <t>Realizar informe de la implementación del sistema de costos basado en actividades</t>
  </si>
  <si>
    <t>Documento de radicación de las TRD</t>
  </si>
  <si>
    <t xml:space="preserve">Fortalecimiento de la transparencia y eficiencia en la gestión </t>
  </si>
  <si>
    <t xml:space="preserve">Fortalecer los canales de anticorrupción y el relacionamiento estratégico </t>
  </si>
  <si>
    <t>Información y comunicación</t>
  </si>
  <si>
    <t>Mantener el modelo EFR, mediante el cumplimiento de las 2 actividades definidas en el PII</t>
  </si>
  <si>
    <t>Ejecutar Plan Anual de Seguridad y Salud sen el Trabajo</t>
  </si>
  <si>
    <t>Fortalecer las competencias técnicas y blandas de los colaboradores de CISA en el 2023</t>
  </si>
  <si>
    <t>Informe de gestión en SST</t>
  </si>
  <si>
    <t>Revisar integralmente los tipos de riesgos de corrupción, estratégicos, operativos y de continuidad del negocio, previamente identificados y  asociados a cada proceso vs la nueva caracterización de los mismos, validando al  mismo tiempo el cumplimiento de los lineamientos establecidos dentro de la política de administración de riesgos de la entidad. En los casos en los que se encuentre oportunidades de mejora, se generará el respectivo plan de mejora para realizar la actualización dentro del mapa de riesgos.</t>
  </si>
  <si>
    <t xml:space="preserve">Realizar semestralmente el monitoreo aleatorio a la ejecución de los controles de riesgos determinados por los diferentes procesos, revisando las respectivas evidencias de su cumplimiento,  generando así 2 informes durante la vigencia 2023 con los hallazgos y recomendaciones derivadas de la actividad.  </t>
  </si>
  <si>
    <t>Revisar la Política de Riesgos de la entidad</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</si>
  <si>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2023 con los resultados y/o identificación de posibles cambios sobre el cumplimiento y efectividad de los controles y desempeño esperado, junto con el cumplimiento de los planes de tratamiento efectuados</t>
  </si>
  <si>
    <t>Número de informes cuatrimestrales de evaluación a los riesgos de corrupción de la Entidad</t>
  </si>
  <si>
    <t xml:space="preserve">Número de trámites revisados / Número de trámites inscritos en el SUIT </t>
  </si>
  <si>
    <t>ETAPA 4: Realizar seguimiento a la ejecución del cronograma de actividades de implementación de la estrategia de racionalización establecida en el SUIT</t>
  </si>
  <si>
    <t>Realizar espacios con grupos de interés donde se dé a conocer las acciones y actividades propias de la gerencia, generando un posicionamiento de marca y la visualizar ante otros organismos del estado y sociedad en general.</t>
  </si>
  <si>
    <t xml:space="preserve">Realizar seguimiento a la ejecución de la implementación o no, de las sugerencias consolidadas en el transcurso del año, radicadas en el aplicativo Zeus y originadas de las encuestas de satisfacción y percepción derivadas de los bimestres noviembre a diciembre (vigencia 2022); enero a febrero, marzo a abril, mayo a junio, julio a agosto y septiembre a octubre (vigencia 2023), por parte de la Dirección de Comunicaciones, Mercadeo y Relacionamiento, la Dirección Jurídica, la Gerencia de Cartera, la Gerencia Inmobiliaria, la Jefatura de Tecnología y la Jefatura de Relacionamiento con la Ciudadanía.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</si>
  <si>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</si>
  <si>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Revisar y presentar el cumplimiento de la Matriz de Transparencia y Acceso a la Información (ITA), según sus políticas y lineamientos.</t>
  </si>
  <si>
    <t>Implementar la política de gobierno digital con los lineamientos de la AE - Arquitectura Empresarial</t>
  </si>
  <si>
    <t>Sumatoria de informes de avance de la implementación de los ámbitos de AE - Arquitectura Empresarial</t>
  </si>
  <si>
    <t xml:space="preserve">
Teniendo en cuenta que en la vigencia 2022 se reportó un avance de 53% en el dominio GOBIERNO DE TI,  para el 2023 se dará continuidad en este dominio  alineándolo  con el Dominio de Arquitectura Misional definido en el  Modelo de Arquitectura Empresarial (MAE) v2. Se definirá un proyecto para alinear  al nuevo  dominio de Arquitectura Misional y buscar un avance al  63%, donde se dará definición de la arquitectura misional o de negocio alineados a la arquitectura empresarial; estableciendo  así la fase II de las brechas digitales para lograr el cumplimiento de los lineamientos de la política de gobierno Digital en el dominio  Arquitectura Misional del MAE.
</t>
  </si>
  <si>
    <t>Implementar y gestionar el proyecto de analítica de datos de cartera</t>
  </si>
  <si>
    <t xml:space="preserve">Realizar revisión integral del mapa de riesgos institucional </t>
  </si>
  <si>
    <t>Realizar monitoreo aleatorio a la ejecución de los controles de los riesgos</t>
  </si>
  <si>
    <t xml:space="preserve">Implementar la política de gestión documental cumpliendo con la normativa emitida por el Archivo General de la Nación como ente rector </t>
  </si>
  <si>
    <t>Número de informes de la gestión de las actividades de la política de gestión documental</t>
  </si>
  <si>
    <t>Elaborar las Tablas de Retención Documental (TRD)</t>
  </si>
  <si>
    <t>Análisis de la información y mesas de trabajo con las dependencias, para la elaboración y posterior presentación ante el Comité Institucional de Gestión y Desempeño,  de la actualización de las Tablas de Retención Documental de la Entidad.</t>
  </si>
  <si>
    <t>Radicar las Tablas de Retención Documental (TRD) ante el Archivo General de la Nación</t>
  </si>
  <si>
    <t>Radicar ante el AGN las TRD elaboradas</t>
  </si>
  <si>
    <t xml:space="preserve">Número - Documento </t>
  </si>
  <si>
    <t>Implementar el Sistema de Gestión de Documentos Electrónicos de Archivo (SGDEA)</t>
  </si>
  <si>
    <t xml:space="preserve">Implementar el Sistema de Gestión de Documentos Electrónicos de Archivo (SGDEA), conforme a las siguientes fases: 
1. Planeación: se define la estructura de desglose del proyecto a alto nivel. 2. Análisis: En esta fase se identifica la estructura general de la entidad y se determina la necesidad de información desde las perspectiva organizacional, normativa, tecnológica y documental. 3. Diseño: Se define la estrategia de implementación del SGDEA. 4.                               
Implementación: Se podrán en producción el aplicativo. 5. Evaluación: Se realizará el monitoreo y control sobre cada una de las fases del proyecto y sus avances.
</t>
  </si>
  <si>
    <t>Fases del SGDEA implementadas</t>
  </si>
  <si>
    <t>Sumatoria de fases del SGDEA implementadas</t>
  </si>
  <si>
    <t xml:space="preserve">Ejecutar el Plan de Transferencias Documentales </t>
  </si>
  <si>
    <t>Se ejecutará el Plan de Transferencias Documentales, conforme a la ejecución de las siguientes actividades:
1. Definición de cronograma. 2. Socialización del cronograma y el procedimiento para las transferencias. 3. Identificación y organización de las series documentales objeto de transferencia. 4. Solicitud de recepción. 5. Verificación. 6. Actualización del Inventario.</t>
  </si>
  <si>
    <t>Transferencias documentales realizadas</t>
  </si>
  <si>
    <t xml:space="preserve">Transferencias documentales realizadas / Transferencias documentales programadas </t>
  </si>
  <si>
    <t>Aplicar las Tablas de Valoración Documental (TVD)</t>
  </si>
  <si>
    <t>Para realizar la aplicación de las Tablas de Valoración Documental, se ejecutarán los siguientes proyectos: 1. Actualización de inventario. 2. Organización de fondo documental - Fase 1.</t>
  </si>
  <si>
    <t>Aplicación de TVD</t>
  </si>
  <si>
    <t>Sumatoria de actividades de aplicación de TVD</t>
  </si>
  <si>
    <t>Avanzar en el dominio INFORMACIÓN</t>
  </si>
  <si>
    <t>Avanzar en el dominio SERVICIOS TECNOLOGICOS</t>
  </si>
  <si>
    <t xml:space="preserve">Teniendo en cuenta que en la vigencia 2022 se reportó un avance de 55% en el dominio de SERVICIOS TECNOLOGICOS, para el 2023 se dará continuidad en este dominio  alineándolo con el Dominio de Arquitectura de Infraestructura Tecnológica definido en el  Modelo de Arquitectura Empresarial (MAE) v2. Se definirá un proyecto para alinear  el nuevo dominio  de Arquitectura de Infraestructura Tecnológica bajo el MAE con objetivo de avanzar al 65%, donde se iniciará y adelantará la fase II de las brechas para lograr el cumplimiento de los lineamientos de la política de gobierno Digital en el Dominio  de Arquitectura de Infraestructura de Tecnología del MAE. Para establecer y adelantar la fase II de las brechas digitales para lograr el cumplimiento de los lineamientos de la política de gobierno Digital en el dominio Arquitectura  de Infraestructura Tecnológica del MAE y así identificar y definir todos los elementos de infraestructura de TI que soportan la operación.
</t>
  </si>
  <si>
    <t>Dirección de Planeación Estratégica y Sistemas de la Información</t>
  </si>
  <si>
    <t>Analista de Planeación - Sandra Neira Rodríguez</t>
  </si>
  <si>
    <t>Directora de Planeación Estratégica - Melissa Alfonso García</t>
  </si>
  <si>
    <t>Plan de Acción Integrado</t>
  </si>
  <si>
    <t xml:space="preserve">      Plan de Acción Anual </t>
  </si>
  <si>
    <t>PINAR - Plan Institucional de Archivos</t>
  </si>
  <si>
    <t>PETH - Plan Estratégico de Talento Humano</t>
  </si>
  <si>
    <t xml:space="preserve">     Plan de Trabajo Anual en Seguridad y Salud en el Trabajo</t>
  </si>
  <si>
    <t>Plan de Incentivos Institucionales</t>
  </si>
  <si>
    <t xml:space="preserve"> Plan Institucional de Capacitación</t>
  </si>
  <si>
    <t>Plan Anticorrupción y de Atención al Ciudadano</t>
  </si>
  <si>
    <t>PETI – Plan Estratégico de Tecnologías de la Información</t>
  </si>
  <si>
    <t>Colombia potencia mundial de la vida</t>
  </si>
  <si>
    <t>Validar que objeto contractual de contratos/convenios, este conforme a objeto social CISA</t>
  </si>
  <si>
    <t>Diseñar la estrategia de comunicación de Central de Inversiones S.A. - CISA</t>
  </si>
  <si>
    <t xml:space="preserve">Construir e implementar el Plan de Comunicación Interna y el Plan de Comunicación Externa en consonancia con la plataforma estratégica de la Entidad. </t>
  </si>
  <si>
    <t>Planes realizados</t>
  </si>
  <si>
    <t>Número de planes realizados</t>
  </si>
  <si>
    <t>Número - Plan</t>
  </si>
  <si>
    <t>Implementar la estrategia de comunicación de Central de Inversiones S.A. - CISA</t>
  </si>
  <si>
    <t>Diseñar 12 campañas de comunicación  interna y externa, para dar a conocer la gestión y las líneas de negocio de Central de Inversiones S.A. - CISA.</t>
  </si>
  <si>
    <t>Informes realizados</t>
  </si>
  <si>
    <t>Diseñar la estrategia de mercadeo de Central de Inversiones S.A. - CISA</t>
  </si>
  <si>
    <t xml:space="preserve">Construir e implementar el Plan de Mercadeo en consonancia con la plataforma estratégica de la Entidad. </t>
  </si>
  <si>
    <t>Implementar la estrategia de mercadeo de Central de Inversiones S.A. - CISA</t>
  </si>
  <si>
    <t>Diseñar 6 campañas de mercadeo para movilzar los activos de propiedad o bajo la administración de Central de Inversiones S.A. - CISA.</t>
  </si>
  <si>
    <t>Crear productos de comunicación con base en la información recibida a través de RCC, en los medios de comunicación propios de la Entidad</t>
  </si>
  <si>
    <t xml:space="preserve">Informe de productos </t>
  </si>
  <si>
    <t>Número de productos</t>
  </si>
  <si>
    <t>Número - Producto</t>
  </si>
  <si>
    <t>Adelantar actividades de promoción y posicionamiento del modelo de Gobierno Abierto en sus grupos de interés.</t>
  </si>
  <si>
    <t>Plan realizado</t>
  </si>
  <si>
    <t>Emplear herramientas digitales de interacción ciudadana.</t>
  </si>
  <si>
    <t>Herramientas utilizadas</t>
  </si>
  <si>
    <t>Número de herramientas</t>
  </si>
  <si>
    <t>Número - Herramienta</t>
  </si>
  <si>
    <t>Incluir acciones sugeridas por la ciudadanía en el esquema de publicación web.</t>
  </si>
  <si>
    <t xml:space="preserve">Jefe de Relacionamiento con la Ciudadanía / Jefatura de Relacionamiento con la Ciudadanía </t>
  </si>
  <si>
    <t xml:space="preserve">Jefe de Relacionamiento con la Ciudadanía / Relacionamiento con la Ciudadanía </t>
  </si>
  <si>
    <r>
      <t>Ajustar la página web institucional de acuerdo con los lineamientos y normas que correspondan, aplicando la</t>
    </r>
    <r>
      <rPr>
        <sz val="11"/>
        <color theme="1"/>
        <rFont val="Calibri"/>
        <family val="2"/>
        <scheme val="minor"/>
      </rPr>
      <t xml:space="preserve"> guía de lenguaje claro del PNSC-DN.</t>
    </r>
  </si>
  <si>
    <t>Diseñar e implementar estrategias para el posicionamiento de Central de Inversiones S.A. - CISA a nivel nacional y regional</t>
  </si>
  <si>
    <t>Generar nuevos espacios en los medios de comunicación propios de la Entidad</t>
  </si>
  <si>
    <t>Cumplir con los lineamientos de la guía de lenguaje claro del PNSC-DNP en cuanto a la información que publica la entidad</t>
  </si>
  <si>
    <t>Implementar plan de promoción de Gobierno Digital para CISA</t>
  </si>
  <si>
    <t>Diseñar uso de herramientas digitales para interacción con la ciudadanía</t>
  </si>
  <si>
    <t>Actualizar el esquema de publicación web con participación de la ciudadanía</t>
  </si>
  <si>
    <t>Revisar y alinear la Política de riesgos con la nueva planificación estratégica de la entidad y la guía para la administración de riesgos y diseño de controles de la  Función Pública.</t>
  </si>
  <si>
    <t>Informe de actualización de la Política de Administración del riesgo</t>
  </si>
  <si>
    <t>Área Organizativa</t>
  </si>
  <si>
    <t>Presidencia</t>
  </si>
  <si>
    <t>Gerencia de  Sistemas de Información</t>
  </si>
  <si>
    <t>Control Disciplinario Interno</t>
  </si>
  <si>
    <t>Gerencia de Valoración e Inteligencia de Mercado</t>
  </si>
  <si>
    <t>Gerencia Financiera</t>
  </si>
  <si>
    <t xml:space="preserve">Jefatura de Relacionamiento con la Ciudadanía </t>
  </si>
  <si>
    <t xml:space="preserve"> Gerencia de Contratación </t>
  </si>
  <si>
    <t xml:space="preserve"> Área Responsable de Ejecutar la Actividad</t>
  </si>
  <si>
    <t>Jefatura de Procesos y Productividad</t>
  </si>
  <si>
    <t>Gerencia de Cartera</t>
  </si>
  <si>
    <t>Gerencia Inmobiliaria</t>
  </si>
  <si>
    <t>Gerencia de Comercialización</t>
  </si>
  <si>
    <t>Gerencia Social</t>
  </si>
  <si>
    <t>Gerencia de Sistemas de información</t>
  </si>
  <si>
    <t>Promover espacios de participación con la ciudadanía, para conocer sus intereses y necesidades de información</t>
  </si>
  <si>
    <t>Nombre Documento:</t>
  </si>
  <si>
    <t>Área Responsable:</t>
  </si>
  <si>
    <t>Elaboró:</t>
  </si>
  <si>
    <t>Revisó:</t>
  </si>
  <si>
    <t>Reporte Oportuno Meta de Objetivo</t>
  </si>
  <si>
    <t>Reporte Oportuno Actividad</t>
  </si>
  <si>
    <t>Reporte Oportuno</t>
  </si>
  <si>
    <t>Avance ponderado frente a la meta de objetivo</t>
  </si>
  <si>
    <t>Avance ponderado de la actividad</t>
  </si>
  <si>
    <t xml:space="preserve">Avance ponderado frente al objetivo    </t>
  </si>
  <si>
    <t>Ejecución Metas y Objetivos</t>
  </si>
  <si>
    <t>Avance Plan</t>
  </si>
  <si>
    <t>Peso Porcentual del Objetivo Estratégico</t>
  </si>
  <si>
    <t>.</t>
  </si>
  <si>
    <t>1 Trimestre</t>
  </si>
  <si>
    <t>2 Trimestre</t>
  </si>
  <si>
    <t>EJEUCUCIÓN PONDERADA DEL PLAN FRENTE AL TRIMESTRE</t>
  </si>
  <si>
    <t>EJECUCIÓN GENERAL DEL PLAN</t>
  </si>
  <si>
    <t xml:space="preserve">Número - Informe de capacitaciones realizadas durante el IV trimestre </t>
  </si>
  <si>
    <t>Capacitar durante el segundo semestre del año  a los abogados internos de CISA</t>
  </si>
  <si>
    <t xml:space="preserve">Peso Porcentual del Objetivo </t>
  </si>
  <si>
    <t>Peso porcentual de la Meta de Objetivo</t>
  </si>
  <si>
    <t>Nombre del Indicador de Gestión</t>
  </si>
  <si>
    <t>Entregable</t>
  </si>
  <si>
    <t>Peso porcentual de la actividad (frente al objetivo)</t>
  </si>
  <si>
    <t xml:space="preserve">Entregable       </t>
  </si>
  <si>
    <t>Ver 10 08/06/2023</t>
  </si>
  <si>
    <t>Plan Estratégico Sectorial 2023</t>
  </si>
  <si>
    <t>Responsables</t>
  </si>
  <si>
    <t>Peso Porcentual del Objetivo</t>
  </si>
  <si>
    <t xml:space="preserve">Nombre del Indicador de Gestión                       </t>
  </si>
  <si>
    <t>Estructurar y/o implementar proyectos que generen valor compartido</t>
  </si>
  <si>
    <t>Actividad: Estructurar y/o implementar proyectos que generen valor compartido, social, productivo y/o ambiental.
Descripción: Proyectos estratégicos para iniciativas comunitarias y/o de entidades públicas que fortalezcan el tejido social en el marco de la Paz Total.</t>
  </si>
  <si>
    <t>Informe de avance de los proyectos</t>
  </si>
  <si>
    <t>Numero de informes de avance de los proyectos</t>
  </si>
  <si>
    <t>Número</t>
  </si>
  <si>
    <t>Matriz plan e Informe</t>
  </si>
  <si>
    <t>Director(a) de Planeación Estratégica y Sistemas de Información / Dirección de Planeación Estratégica y Sistemas de Información</t>
  </si>
  <si>
    <t>Director(a) de Planeación Estratégica y Sistemas de Información/ Dirección de Planeación Estratégica y Sistemas de Información</t>
  </si>
  <si>
    <t>Apoyar el fortalecimiento de las finanzas públicas, optimizando los bienes rurales y urbanos</t>
  </si>
  <si>
    <t>Gestión integral de Activos Públicos</t>
  </si>
  <si>
    <t>Ser el aliado estratégico de las entidades públicas para la gestión eficiente de sus activos</t>
  </si>
  <si>
    <t xml:space="preserve">Gestionar estrategias que permitan aumentar el recaudo de los municipios 4, 5 y 6 </t>
  </si>
  <si>
    <t>Actividad: Gestionar estrategias que permitan aumentar el recaudo de los municipios 4, 5 y 6 con el fin de disminuir las brechas municipales en la generación de recursos propios
Descripción: Estructurar estrategias de gestión de cartera en municipios de categoría 4,5 y 6 que permitan aumentar los recursos propios y así una mayor inversión en proyectos de desarrollo municipal</t>
  </si>
  <si>
    <t xml:space="preserve">	Participar en las mesas sectoriales en el marco de la dimensión del Talento Humano</t>
  </si>
  <si>
    <t>Actividad: Participar en las mesas sectoriales, capacitaciones gestionadas por el Ministerio de Hacienda en el marco de la dimensión del Talento Humano.
Descripción: Asistencia por parte de las entidades del Sector Hacienda, en las mesas y capacitaciones sectoriales que programe el Ministerio de Hacienda y Crédito Público relacionadas con la Dimensión de Talento Humano.</t>
  </si>
  <si>
    <t xml:space="preserve">Registros de asistencia emitidos por el Ministerio de Hacienda </t>
  </si>
  <si>
    <t xml:space="preserve">Número de Registros de Asistencia emitidos por el Ministerio de Hacienda </t>
  </si>
  <si>
    <t xml:space="preserve">Matriz plan y Registros de Asistencia emitidos por el Ministerio de Hacienda </t>
  </si>
  <si>
    <t>Gerente de Recursos / Gerencia de Recursos</t>
  </si>
  <si>
    <t>Vicepresidente(a) Corporativa / Vicepresidencia Corporativa</t>
  </si>
  <si>
    <t>Defensa Jurídica</t>
  </si>
  <si>
    <t>Participar en las mesas sectoriales de la política de Defensa Jurídica del Sector Hacienda</t>
  </si>
  <si>
    <t>Actividad: Participar en las mesas sectoriales de la política de Defensa Jurídica del Sector Hacienda
Descripción: 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 Periodicidad: Dos veces al año</t>
  </si>
  <si>
    <t>Actas de subcomité y listas de asistencia</t>
  </si>
  <si>
    <t>Número de Actas de subcomité y listas de asistencia</t>
  </si>
  <si>
    <t>Matriz plan y Actas de subcomité y listas de asistencia</t>
  </si>
  <si>
    <t>Director(a) Jurídica / Dirección Jurídica</t>
  </si>
  <si>
    <t>Servicio al Ciudadano</t>
  </si>
  <si>
    <t>Participar en las actividades  de relacionamiento ciudadano</t>
  </si>
  <si>
    <t>Actividad: Participar en las actividades que se definan en las mesas sectoriales de relacionamiento ciudadano.
Descripción: 	Participar en las actividades que se definan en las mesas sectoriales de Relacionamiento Ciudadano</t>
  </si>
  <si>
    <t>Registros de asistencia emitidos por el Ministerio de Hacienda e Informe de las actividades realizadas</t>
  </si>
  <si>
    <t>Número de Registros de Asistencia emitidos por el Ministerio de Hacienda e Informe de las actividades realizadas</t>
  </si>
  <si>
    <t>Matriz plan y  Registros de Asistencia emitidos por el Ministerio de Hacienda e Informe de las actividades realizadas</t>
  </si>
  <si>
    <t>Integridad</t>
  </si>
  <si>
    <t>Participar de las sesiones del colectivo disciplinario</t>
  </si>
  <si>
    <t>Actividad: Participar de las sesiones del colectivo y de las actividades que se deriven de las mesas de trabajo.
Descripción: Participar en las sesiones de colectivo que se definan.</t>
  </si>
  <si>
    <t>Oficina Control Disciplinario Interno</t>
  </si>
  <si>
    <t>Líder Oficina de Control Disciplinario Interno / Control Disciplinario Interno</t>
  </si>
  <si>
    <t>Gestión del Conocimiento</t>
  </si>
  <si>
    <t>Gestión del Conocimiento y la Innovación</t>
  </si>
  <si>
    <t>Participar en la comunidad de practica sectorial de Gestión del Conocimiento e innovación</t>
  </si>
  <si>
    <t>Actividad: Participar en la comunidad de practica sectorial de Gestión del Conocimiento e innovación
Descripción: Participar en las actividades definidas en la política de gestión de conocimiento e innovación</t>
  </si>
  <si>
    <t>Líder de Seguimiento Estratégico / Dirección de Planeación Estratégica y Sistemas de Información</t>
  </si>
  <si>
    <t>Información y Comunicación</t>
  </si>
  <si>
    <t>Gestión Documental</t>
  </si>
  <si>
    <t>Participar en las mesas y actividades sectoriales de Gestión Documental</t>
  </si>
  <si>
    <t>Actividad: Participar en las mesas y actividades sectoriales de Gestión Documental
Descripción: Participar en las actividades definidas en gestión documental</t>
  </si>
  <si>
    <t>Líder de Gestión Documental / Gerencia de Recursos</t>
  </si>
  <si>
    <t>Gobierno Digital y Seguridad Digital</t>
  </si>
  <si>
    <t>Participar en las actividades Gobierno Digital y Seguridad Digital</t>
  </si>
  <si>
    <t>Actividad: Participar en las actividades que convoque el líder temático de Gobierno Digital y Seguridad Digital
Descripción: Asistir a las sesiones programadas y convocadas por la Dirección de Tecnología del MHCP</t>
  </si>
  <si>
    <t>Gerente de Sistemas de Información / Gerencia Sistemas de información</t>
  </si>
  <si>
    <t>Realizar el autodiagnóstico de la política de "Planeación Institucional" (autodiagnóstico propio)</t>
  </si>
  <si>
    <t>Autodiagnósticos realizados</t>
  </si>
  <si>
    <t xml:space="preserve">Sumatoria de autodiagnósticos realizados </t>
  </si>
  <si>
    <t>Direccionamiento Estratégico</t>
  </si>
  <si>
    <t>Planeación Institucional</t>
  </si>
  <si>
    <t>Analizar los resultados obtenidos en la medición del FURAG 2022</t>
  </si>
  <si>
    <t>Proyectar un informe de análisis de la política, con respecto a los resultados obtenidos en la medición del FURAG de la vigencia 2022</t>
  </si>
  <si>
    <t xml:space="preserve">Matriz plan e Informe </t>
  </si>
  <si>
    <t>Fortalecer el conocimiento acerca de la operación e implementación del  MIPG</t>
  </si>
  <si>
    <t>El líder de política y el líder operativo de la política, fortalecerán su conocimiento acerca de la operación e implementación del Modelo integrado de Planeación y Gestión (MIPG), a traves de la realización de la capacitación del modelo mediante la plataforma Moodle de CISA</t>
  </si>
  <si>
    <t>Personas capacitadas</t>
  </si>
  <si>
    <t>Número de personas capacitadas</t>
  </si>
  <si>
    <t xml:space="preserve">Matriz plan y Certificados de Capacitación </t>
  </si>
  <si>
    <t>Directora de Planeación Estratégica - Analista de Planeación / Dirección de Planeación Estratégica y Sistemas de Información</t>
  </si>
  <si>
    <t>Realizar capacitación al equipo de trabajo acerca del MIPG</t>
  </si>
  <si>
    <t>El líder de política capacitará a su equipo de trabajo, con respecto a la operación e implementación del   MIPG</t>
  </si>
  <si>
    <t>Capacitaciones realizadas</t>
  </si>
  <si>
    <t>Directora de Planeación Estratégica / Dirección de Planeación Estratégica y Sistemas de Información</t>
  </si>
  <si>
    <t>Realizar el autodiagnóstico de la política de "Compras y Contratación Pública" (autodiagnóstico propio)</t>
  </si>
  <si>
    <t>Matriz Plan e Informe</t>
  </si>
  <si>
    <t>Compras y Contratación Pública</t>
  </si>
  <si>
    <t>Realizar seguimiento a la planeación contractual contenida en el PAA</t>
  </si>
  <si>
    <t>Remitir una alerta a través de correo electrónico a las áreas que tienen bienes y/o servicios por contratar con corte al 31 de julio de 2023, con el propósito de que revisen si hay lugar a modificaciones, ajustes o exclusiones en el Plan Anual de Adquisiciones (PAA). En el evento de reportarse ajustes por las áreas respectivas, serán validadas por la Gerencia de Contratación realizando las actualizaciones a que haya lugar en el  Plan Anual de Adquisiciones (PAA).</t>
  </si>
  <si>
    <t xml:space="preserve">Informes realizados </t>
  </si>
  <si>
    <t>Número de infomes realizados</t>
  </si>
  <si>
    <t xml:space="preserve">Número </t>
  </si>
  <si>
    <t xml:space="preserve">Analista de Gestión de Información de Contratación / Gerencia de Contratación </t>
  </si>
  <si>
    <t xml:space="preserve">Abogado / Gerencia de Contratación </t>
  </si>
  <si>
    <t>Verificar la cantidad de procesos declarados desiertos y ajustar las condiciones</t>
  </si>
  <si>
    <t>La Gerencia de Contratación junto con las áreas que se vieron afectadas con procesos desiertos analizarán los mismos, con el fin de revisar la posibilidad de optar por la modificación de condiciones o especificaciones de los bienes y/o servicios. Lo anterior, con el propósito de encontrar una mejora en la planeación y cerrar las brechas en los procesos de contratación de la Entidad.</t>
  </si>
  <si>
    <t xml:space="preserve">Abogados / Gerencia de Contratación </t>
  </si>
  <si>
    <t>Vicepresidente(a) Corporativo  / Vicepresidencia Corporativa</t>
  </si>
  <si>
    <t xml:space="preserve">Vicepresidente(a) Corporativo - Abogado / Vicepresidencia Corporativa - Gerencia de Contratación </t>
  </si>
  <si>
    <t>Realizar el autodiagnóstico de la política de "Integridad" (autodiagnóstico DAFP)</t>
  </si>
  <si>
    <t>Realizar el autodiagnóstico para la gestión de "Conflictos de Intereses" (DAFP)</t>
  </si>
  <si>
    <t xml:space="preserve">Se realizará el autodiagnóstico formulado por el DAFP, para la gestión de "Conflictos de Intereses" </t>
  </si>
  <si>
    <t>Vicepresidente(a) Corporativo / Vicepresidencia Corporativa</t>
  </si>
  <si>
    <t>Analista de Servicios Generales / Gerencia de Recursos</t>
  </si>
  <si>
    <t>Realizar la validación del nivel de apropiación del Código de Integridad</t>
  </si>
  <si>
    <t>Realizar la validación del nivel de apropiación del Código de Integridad conforme a la metodología del diplomado "habilidades blandas"que se realizará en la vigencia 2023</t>
  </si>
  <si>
    <t>Analista de desempeño / Gerencia de Recursos</t>
  </si>
  <si>
    <t>Analista de Servicios Generales DG/ Gerencia de Recursos</t>
  </si>
  <si>
    <t>Realizar encuestas sobre conocimiento del Código de Integridad y conflicto de intereses</t>
  </si>
  <si>
    <t>Realizar una encuesta con el objetivo de evaluar el conocimiento apropiado por los colaboradores sobre el Código de integridad y conflicto de intereses.</t>
  </si>
  <si>
    <t>Vicepresidente(a) Corporativo - Analista de Servicios Generales  / Vicepresidencia Corporativa</t>
  </si>
  <si>
    <t>Realizar el autodiagnóstico de la política de "Transparencia, Acceso a la  Información Pública y Lucha Contra la Corrupción" (autodiagnóstico DAFP)</t>
  </si>
  <si>
    <t xml:space="preserve">Matriz Plan e Informe </t>
  </si>
  <si>
    <t>Director(a) de Comunicaciones, Mercadeo y  Relacionamiento / Dirección de Comunicaciones, Mercadeo y Relacionamiento</t>
  </si>
  <si>
    <t xml:space="preserve">Divulgar el PAAC a traves de canales internos </t>
  </si>
  <si>
    <t xml:space="preserve">Realizar campañas de divulgación del PAAC a traves de canales internos como televisores, pantallas, carteletas, etc. </t>
  </si>
  <si>
    <t>Campañas realizadas</t>
  </si>
  <si>
    <t>Número de Campañas realizadas</t>
  </si>
  <si>
    <t xml:space="preserve">Matriz Plan e Informe Campaña </t>
  </si>
  <si>
    <t xml:space="preserve">Analista de Planeación / Dirección de Planeación Estrategica y Sistemas de Información </t>
  </si>
  <si>
    <t xml:space="preserve">Jefe de Relacionamiento con la Ciudadania / Vicepresidencia Corporativa. </t>
  </si>
  <si>
    <t>Revisar las causas de riesgos asociados a posibles actos de corrupción.</t>
  </si>
  <si>
    <t>Revisar las causas que fueron analizadas por la entidad en la vigencia evaluada
para la identificación de riesgos asociados a posibles actos de corrupción</t>
  </si>
  <si>
    <t xml:space="preserve">Dirección de Planeación Estrategica y Sistemas de Información </t>
  </si>
  <si>
    <t xml:space="preserve">Analista de Riesgos / /Dirección de Planeación Estrategica y Sistemas de Información </t>
  </si>
  <si>
    <t xml:space="preserve">Analista de Riesgos / Dirección de Planeación Estrategica y Sistemas de Información </t>
  </si>
  <si>
    <t>Realizar el autodiagnóstico del "Plan Anticorrupción y de Atención al Ciudadano" (DAFP)</t>
  </si>
  <si>
    <t>Se realizará el autodiagnóstico formulado por el DAFP, para el "Plan Anticorrupción y de Atención al Ciudadano"</t>
  </si>
  <si>
    <t>Analista de Planeación / Dirección de Planeación Estrategica y Sistemas de Información</t>
  </si>
  <si>
    <t xml:space="preserve">Matriz Plan y Certificados de Capacitación </t>
  </si>
  <si>
    <t>Director(a) de Comunicaciones, Mercadeo y  Relacionamiento - Técnico de Comunicaciones Corporativas / Dirección de Comunicaciones, Mercadeo y Relacionamiento</t>
  </si>
  <si>
    <t>Realizar el autodiagnóstico de la política de "Fortalecimiento Organizacional y Simplificación de Procesos " (autodiagnóstico propio)</t>
  </si>
  <si>
    <t>Fortalecimiento Organizacional y Simplificación de Procesos</t>
  </si>
  <si>
    <t>Director(a) de Planeación Estratégica - Ingeniero de Mejoramiento Continuo / Dirección de Planeación Estratégica - Jefatura de Procesos y Productividad</t>
  </si>
  <si>
    <t>Director(a) de Planeación Estratégica / Dirección de Planeación Estratégica</t>
  </si>
  <si>
    <t>Realizar el autodiagnóstico de la política de "Servicio al Ciudadano " (autodiagnóstico DAFP)</t>
  </si>
  <si>
    <t xml:space="preserve">Jefe de Relacionamiento con la Ciudadanía /Jefatura de Relacionamiento con la Ciudadanía </t>
  </si>
  <si>
    <t xml:space="preserve">Definir plan de trabajo de lenguaje Claro de CISA </t>
  </si>
  <si>
    <t>Definir plan de trabajo de lenguaje claro de CISA en conjunto con la  Dirección de Comunicaciones, Mercadeo y Relacionamiento y la Gerencia de Recursos</t>
  </si>
  <si>
    <t xml:space="preserve">Plan de Trabajo </t>
  </si>
  <si>
    <t>Número de Planes de Trabajo formulados</t>
  </si>
  <si>
    <t xml:space="preserve"> Matriz Plan y Plan de Trabajo Lenguaje Claro </t>
  </si>
  <si>
    <t xml:space="preserve">Dirección de Planeación Estrategica y Sistemas de Información / Dirección de Comunicaciones, Mercadeo y Relacionamiento / Jefatura de Relacionamiento con la Ciudadanía </t>
  </si>
  <si>
    <t xml:space="preserve">Director de Planeación Estrategica y Sistemas de Información  - Dirección de Planeación Estrategica y Sistemas de Información/ Director de Comunicaciones, Mercadeo y Relacionamiento - Dirección de Comunicaciones, Mercadeo y Relacionamiento  / Jefe de Relacionamiento con la Ciudadanía - Jefatura de Relacionamiento con la Ciudadanía </t>
  </si>
  <si>
    <t>Jefe de Relacionamiento con la Ciudadanía / Vicepresidencia Corporativa</t>
  </si>
  <si>
    <t xml:space="preserve"> Director de Comunicaciones, Mercadeo y Relacionamiento - Dirección de Comunicaciones, Mercadeo y Relacionamiento  / Gerente de Recursos - Gerencia de Recursos / Jefe de Relacionamiento con la Ciudadanía - Jefatura de Relacionamiento con la Ciudadanía </t>
  </si>
  <si>
    <t>Identificar los grupos de valor y convocarlos en la elaboración de la estrategia</t>
  </si>
  <si>
    <t>Identificar los grupos de valor a participar y convocarlos en la elaboración de la estrategia servicio y/o relacionamiento con la ciudadanía 2024</t>
  </si>
  <si>
    <t>v</t>
  </si>
  <si>
    <t xml:space="preserve">Dirección de Planeación Estrategica y Sistemas de Información /Jefatura de Relacionamiento con la Ciudadanía </t>
  </si>
  <si>
    <t xml:space="preserve">Director de Planeación Estrategica y Sistemas de Información- Dirección de Planeación Estrategica y Sistemas de Información /  Jefe de Relacionamiento con la Ciudadanía  - Jefatura de Relacionamiento con la Ciudadanía </t>
  </si>
  <si>
    <t xml:space="preserve">Evaluar las acciones de fortalecimiento del talento humano </t>
  </si>
  <si>
    <t xml:space="preserve">Evaluar las acciones de fortalecimiento del talento humano para el relacionamiento con la ciudadanía en conjunto con la Gerencia de Recursos. </t>
  </si>
  <si>
    <t xml:space="preserve">Matriz Plan e Informe con acciones de fortalecimiento </t>
  </si>
  <si>
    <t xml:space="preserve">Gerencia de Recursos /Jefatura de Relacionamiento con la Ciudadanía </t>
  </si>
  <si>
    <t xml:space="preserve">Gerente de Recursos- Gerencia de Recursos  /Jefe de Relacionamiento con la Ciudadanía - Jefatura de Relacionamiento con la Ciudadanía </t>
  </si>
  <si>
    <t>Evaluar la pertinencia de contemplar la señalización inclusiva en CISA</t>
  </si>
  <si>
    <t xml:space="preserve">Evaluar la pertinencia de contemplar los diferentes tipos de señalización inclusiva (Señalización en alto relieve, Señalización con imágenes en lengua de señas, Pictogramas
Señalización en otras lenguas o idiomas
Sistemas de orientación espacial (Wayfinding) en CISA. </t>
  </si>
  <si>
    <t xml:space="preserve">Matriz Plan e Informe señalización inclusiva </t>
  </si>
  <si>
    <t xml:space="preserve">Dirección de Comunicaciones, Mercadeo y Relacionamiento /Jefatura de Relacionamiento con la Ciudadanía </t>
  </si>
  <si>
    <t xml:space="preserve">Director de Comunicaciones, Mercadeo y Relacionamiento - Dirección de Comunicaciones, Mercadeo y Relacionamiento /Jefe de Relacionamiento con la Ciudadanía - Jefatura de Relacionamiento con la Ciudadanía </t>
  </si>
  <si>
    <t xml:space="preserve">Vicepresidente(a) Corporativo - Analista de Relacionamiento con la Ciudadanía / Vicepresidencia Corporativa - Jefatura de Relacionamiento con la Ciudadanía </t>
  </si>
  <si>
    <t>Realizar el autodiagnóstico de la política de "Participación Ciudadana en la Gestión Pública" (autodiagnóstico DAFP)</t>
  </si>
  <si>
    <t>Participación Ciudadana en la Gestión Pública</t>
  </si>
  <si>
    <t>Realizar el autodiagnóstico para la gestión de "Rendición de Cuentas" (DAFP)</t>
  </si>
  <si>
    <t>Se realizará el autodiagnóstico formulado por el DAFP, para la gestión de "Rendición de Cuentas"</t>
  </si>
  <si>
    <t>Realizar disgnostico participativo con participación de grupos de valor</t>
  </si>
  <si>
    <t xml:space="preserve">Realizar campañas de invitación a los grupos de valor (Academia, Sector privado, gremios y empresas, Órganos de control, Veedurías ciudadanas y grupos de control social,  Organizaciones de la sociedad civil, Ciudadanía, incorporando enfoque diferencial, Entidades públicas, servidores y contratistas del Estado) incluyendo temas de interes a participar a traves de canales externos. </t>
  </si>
  <si>
    <t xml:space="preserve">Diagnostico  </t>
  </si>
  <si>
    <t>Numero de diagnostico realizado</t>
  </si>
  <si>
    <t xml:space="preserve">Dirección de Planeación Estrategica y Sistemas de Información. </t>
  </si>
  <si>
    <t xml:space="preserve"> Analista de Planeación / Dirección de Planeación Estrategica y Sistemas de Información. </t>
  </si>
  <si>
    <t>Realizar campañas de divulgación del Boton Participa</t>
  </si>
  <si>
    <t xml:space="preserve">Realizar campañas de divulgación del Boton Participa por diferentes canales externos </t>
  </si>
  <si>
    <t xml:space="preserve">Campañas de Divulgación </t>
  </si>
  <si>
    <t>Número de Campañas de Divulgación Implementadas</t>
  </si>
  <si>
    <t xml:space="preserve">Matriz Plan e Informe de Campañas de Divulgación Implementadas </t>
  </si>
  <si>
    <t xml:space="preserve">Director de Comunicaciones, Mercadeo y Relacionamiento / Dirección de Comunicaciones, Mercadeo y Relacionamiento </t>
  </si>
  <si>
    <t xml:space="preserve">Vicepresidente(a) Corporativo - Analista de Relacionamiento con la Ciudadanía / Jefatura de Relacionamiento con la Ciudadanía </t>
  </si>
  <si>
    <t>Realizar el autodiagnóstico de la política de "Racionalización de Trámites" (autodiagnóstico DAFP)</t>
  </si>
  <si>
    <t>Racionalización de Trámites</t>
  </si>
  <si>
    <t xml:space="preserve">Jefe de Relacionamiento con la Ciudadania / Jefatura de Relacionamiento con la Ciudadanía </t>
  </si>
  <si>
    <t>Verificar tramites de CISA en Centros Integrados de Servicio al Ciudadano</t>
  </si>
  <si>
    <t xml:space="preserve">Dentro del analisis de priorización de los tramites a realizar para la vigencia 2024 verificar si alguno esta incluido dentro de los Centros Integrados de Servicio al Ciudadano </t>
  </si>
  <si>
    <t xml:space="preserve">Ingeniero de Mejoramiento Continuo -Jefatura de Procesos y Productividad / Jefe de Relacionamiento con la Ciudadania - Jefatura de Relacionamiento con la Ciudadanía </t>
  </si>
  <si>
    <t xml:space="preserve">Ingeniero de Mejoramiento Continuo - Jefatura de Procesos y Productividad / Jefe de Relacionamiento con la Ciudadania - Jefatura de Relacionamiento con la Ciudadanía </t>
  </si>
  <si>
    <t>Definir plan de trabajo para la implementación de politica "Racionalización de Trámites"</t>
  </si>
  <si>
    <t>Definir plan de trabajo para la implementación de politica conforme asesoria del MINTIC</t>
  </si>
  <si>
    <t xml:space="preserve">Número de Planes de Trabajo </t>
  </si>
  <si>
    <t xml:space="preserve">Matriz Plan y Plan de Trabajo </t>
  </si>
  <si>
    <t xml:space="preserve">Jefe de Relacionamiento con la Ciudadania - Analista de Relacionamiento con la Ciudadanía / Jefatura de Relacionamiento con la Ciudadanía </t>
  </si>
  <si>
    <t>Realizar el autodiagnóstico de la política de "Gobierno Digital" (autodiagnóstico DAFP)</t>
  </si>
  <si>
    <t>Analizar tecnologías emergentes de la cuarta revolución industrial</t>
  </si>
  <si>
    <t>Análisis inicial  en  tecnologías emergentes de la cuarta revolución industrial, para evaluar la tecnología de la "Automatización robótica de procesos (RPA)",  por medio de una consultoría.</t>
  </si>
  <si>
    <t xml:space="preserve">Fortalecer el conocimiento acerca  de las  tecnologías emergentes - cuarta revolución </t>
  </si>
  <si>
    <t>Fortalecer el conocimiento acerca  de las tecnologías de cuarta revolución industrial, para buscar aprender  sobre el camino  de las entidades para conectar sus necesidades y problemáticas a soluciones innovadoras a través de uso de tecnologías emergentes y presentar cómo la evolución tecnológica ha dado origen a la transformación digital y cuáles son las principales tecnologías que se involucran en dicho proceso.</t>
  </si>
  <si>
    <t xml:space="preserve">Matriz plan y Certificado de Capacitación </t>
  </si>
  <si>
    <t>Gerente de Sistemas de Información - Líder de Gobierno Digital / Gerencia de  Sistemas de Información</t>
  </si>
  <si>
    <t>Realizar el autodiagnóstico de la política de "Seguridad Digital" (autodiagnóstico propio)</t>
  </si>
  <si>
    <t>Seguridad Digital</t>
  </si>
  <si>
    <t>Implementar un software para el Sistema de Gestión de Seguridad (SGSI)</t>
  </si>
  <si>
    <t>Implementar el Sistema de Gestión de Seguridad (SGSI) de la Información para la gestión de la Norma ISO 27001,  como apoyo al proceso de certificación en cumplimiento de la normatividad.</t>
  </si>
  <si>
    <t>Sistema Implementado</t>
  </si>
  <si>
    <t>Numero de sistemas implementados</t>
  </si>
  <si>
    <t>Fortalecer el conocimiento en seguridad digital</t>
  </si>
  <si>
    <t>Fortalecer el conocimiento en seguridad digital para aportar al cumplimiento de los frentes de seguridad definidos para la política de seguridad digital</t>
  </si>
  <si>
    <t>Director(a) de Planeación Estratégica y Sistemas de Información - Líder de Gobierno Digital/ Dirección de Planeación Estratégica y Sistemas de Información</t>
  </si>
  <si>
    <t>Realizar el autodiagnóstico de la política de "Defensa Jurídica" (autodiagnóstico DAFP)</t>
  </si>
  <si>
    <t xml:space="preserve">Construir la herramienta para la gestión de las acciones de repetición </t>
  </si>
  <si>
    <t xml:space="preserve">Elaborar el manual para la gestión de las acciones de repetición  </t>
  </si>
  <si>
    <t>Manual elaborado</t>
  </si>
  <si>
    <t xml:space="preserve">Número de manuales elaborados </t>
  </si>
  <si>
    <t xml:space="preserve">Matriz plan y Manual </t>
  </si>
  <si>
    <t xml:space="preserve">Jefe de procesos judiciales -jefe de cobro coactivo y concursal - Jefe de conceptos / Dirección jurídica </t>
  </si>
  <si>
    <t xml:space="preserve">Abogada de gestión jurídica /  Dirección jurídica  </t>
  </si>
  <si>
    <t xml:space="preserve">Realizar la divulgación de la herramienta para la gestión de las acciones de repetición </t>
  </si>
  <si>
    <t xml:space="preserve">Divulgar por el canal de comunicaciones de CISA, el manual para la gestión de las acciones de repetición </t>
  </si>
  <si>
    <t>Campañas de divulgación</t>
  </si>
  <si>
    <t>Número de campañas de divulgación realizadas</t>
  </si>
  <si>
    <t xml:space="preserve">Abogada de gestión jurídica / Dirección Juríca  </t>
  </si>
  <si>
    <t xml:space="preserve">Elaborar procedimiento para control y seguimiento de asistencia a audiencias judiciales </t>
  </si>
  <si>
    <t xml:space="preserve">Inlcusión del procedimiento para el control y seguimiento de la asistencia a audiencias judiciales, como medida preventiva y correctiva por inasisitencia a las audencias en circular normativa </t>
  </si>
  <si>
    <t>Procedimiento elaborado</t>
  </si>
  <si>
    <t>Número de procedimientos elaborado</t>
  </si>
  <si>
    <t>Matriz plan y Procedimiento</t>
  </si>
  <si>
    <t xml:space="preserve">Jefe de procesos judiciales -jefe de cobro coactivo y concursal - Abogada Senior de Conceptos / Dirección juridica </t>
  </si>
  <si>
    <t>Abogada de gestión jurídica /  Dirección jurídica</t>
  </si>
  <si>
    <t xml:space="preserve">Realizar seguimiento a la asistencia de las  audiencias judiciales </t>
  </si>
  <si>
    <t xml:space="preserve">Realizar seguimiento a la  asistencia de los funcionarios de Dirección Jurídica  a las  audiencias judiciales </t>
  </si>
  <si>
    <t xml:space="preserve">Abogado de gestión jurídica / Dirección Jurídica  </t>
  </si>
  <si>
    <t xml:space="preserve">Directora jurídica -Abogada de gestión jurídica / Dirección Jurídica  </t>
  </si>
  <si>
    <t xml:space="preserve">Directora Jurídica / Dirección Jurídica  </t>
  </si>
  <si>
    <t>Realizar el autodiagnóstico de la política de "Gestión del Conocimiento y la Innovación" (autodiagnóstico DAFP)</t>
  </si>
  <si>
    <t>Actualizar los mapas de conocimiento de la entidad</t>
  </si>
  <si>
    <t xml:space="preserve">La actividad incluye la actualización del conocimiento tácito y explícito de los servidores, las acciones de divulgación, evaluación y acciones de mejora </t>
  </si>
  <si>
    <t>Mapas actualizados</t>
  </si>
  <si>
    <t>Número de mapas actualizados</t>
  </si>
  <si>
    <t>Matriz plan y Captura de pantalla</t>
  </si>
  <si>
    <t>Identificar los riesgos de fuga de capital intelectual</t>
  </si>
  <si>
    <t>La actividad incluye todas las etapas de la gestión del riesgo.</t>
  </si>
  <si>
    <t>Identificación actualizada</t>
  </si>
  <si>
    <t>Número de actualizaciones</t>
  </si>
  <si>
    <t>Matriz plan y Documento</t>
  </si>
  <si>
    <t>Adelantar actividades de ideación, creación y experimentación</t>
  </si>
  <si>
    <t>Las actividades  incluyen todo el ciclo de los procesos de innovación</t>
  </si>
  <si>
    <t>Documentos realizados</t>
  </si>
  <si>
    <t>Número de documentos realizados</t>
  </si>
  <si>
    <t>Crear el laboratorio de innovación de CISA</t>
  </si>
  <si>
    <t>Crear, difundir, aplicar, evaluar y tomar acciones de mejora con respecto a las actividades realizadas en el laboratorio</t>
  </si>
  <si>
    <t>Director(a) de Planeación Estratégica y Sistemas de Información - Líder de Seguimiento Estratégico / Dirección de Planeación Estratégica y Sistemas de Información</t>
  </si>
  <si>
    <t>Realizar el autodiagnóstico de la política de "Gestión Documental" (autodiagnóstico DAFP)</t>
  </si>
  <si>
    <t xml:space="preserve">Realizar matriz de riesgos laborales - Gestión Documental </t>
  </si>
  <si>
    <t>Dando cumplimiento a la Politica de Gestión Documental se realizará la matriz de riesgos laborales, con el fin de  definir las responsabilidades y  la adopcion de las medidas tendientes a la gestion y mitigación efectiva de los riesgos.</t>
  </si>
  <si>
    <t>Matriz de riesgos laborales</t>
  </si>
  <si>
    <t xml:space="preserve">Número de matrices de riesgos laborales realizadas </t>
  </si>
  <si>
    <t>Matriz Plan y Matriz de riesgos laborales</t>
  </si>
  <si>
    <t xml:space="preserve">Lider de Gestión Documental/Gerencia de Recursos  </t>
  </si>
  <si>
    <t xml:space="preserve">Líder de Gestión Documental/Gerencia de Recursos  </t>
  </si>
  <si>
    <t>Incluir en el SIC el programa de almacenamiento y re-archivo</t>
  </si>
  <si>
    <t>Determinar las unidades de almacenamiento y conservación con el fin de garantizar la gestión durante el ciclo vital y evitar deterioros físicos de los documentos a través las buenas prácticas.</t>
  </si>
  <si>
    <t>Protocolo de Gestión</t>
  </si>
  <si>
    <t xml:space="preserve">Numero de Protocolos realizados </t>
  </si>
  <si>
    <t>Matriz plan y Protocolo de Gestión</t>
  </si>
  <si>
    <t>Vicepresidente(a) Corporativo - Líder de Gestión Documental / Vicepresidencia Corporativa</t>
  </si>
  <si>
    <t>Realizar el autodiagnóstico de la política de "Gestión de la Información Estadística" (autodiagnóstico DAFP)</t>
  </si>
  <si>
    <t>Gestión de la Información Estadística</t>
  </si>
  <si>
    <t xml:space="preserve">Actualizar las herramientas técnicas de la política para determinar el estado actual </t>
  </si>
  <si>
    <t>Las actividades incluyen realizar nuevamente la evaluación de la información de la entidad para determinar si existe información estadística y/o registros administrativos</t>
  </si>
  <si>
    <t>Herramientas actualizadas</t>
  </si>
  <si>
    <t>Número de herramientas actualizadas</t>
  </si>
  <si>
    <t xml:space="preserve">Matriz plan y Herramienta </t>
  </si>
  <si>
    <t>Implementar el Plan de Mejoramiento de RRAA</t>
  </si>
  <si>
    <t>Implementar el plan de fortalecimiento del SIGA de acuerdo a lo planeado</t>
  </si>
  <si>
    <t>Plan implementado</t>
  </si>
  <si>
    <t>Número de planes implementados</t>
  </si>
  <si>
    <t>Realizar el autodiagnóstico de la política de "Seguimiento y Evaluación del Desempeño Institucional" (autodiagnóstico propio)</t>
  </si>
  <si>
    <t>Evaluación de Resultados</t>
  </si>
  <si>
    <t>Seguimiento y Evaluación del Desempeño Institucional</t>
  </si>
  <si>
    <t>Realizar plan de acción con acciones de mejora del ejercicio de rendición de cuentas</t>
  </si>
  <si>
    <t>Realizar plan de acción referente a las acciones de mejora y las causas de satisfacción e insatisfacción de la ciudadanía, derivadas del ejercicio de rendición de cuentas conforme a los resultados de la encuesta de percepción de la audiencia.</t>
  </si>
  <si>
    <t>Plan formulado</t>
  </si>
  <si>
    <t>Número de planes formulados</t>
  </si>
  <si>
    <t xml:space="preserve">Matriz Plan y Plan formulado </t>
  </si>
  <si>
    <t>Director(a) de Comunicaciones  /Dirección de Comunicaciones, Mercadeo y Relacionamiento</t>
  </si>
  <si>
    <t>Analista de Planeación / Dirección de Planeación Estratégica</t>
  </si>
  <si>
    <t>Realizar seguimiento a la ejecución del plan de acción de mejora</t>
  </si>
  <si>
    <t>Realizar seguimiento a la ejecución del plan de acción  acerca de las acciones de mejora y las causas de satisfacción e insatisfacción de la ciudadanía identificadas.</t>
  </si>
  <si>
    <t>Informes de seguimiento realizados</t>
  </si>
  <si>
    <t>Número de informes de seguimiento realizados</t>
  </si>
  <si>
    <t>Realizar seguimiento a la formación sobre la política anticorrupción</t>
  </si>
  <si>
    <t>Cada líder de proceso designará un colaborador para que se capacite acerca de la política anticorrupción en el marco de la formación que brinda el DAFP</t>
  </si>
  <si>
    <t>Colaboradores designados por los líderes de proceso - Analista de Riesgos / Vicepresidencia Corporativa - Vicepresidencia de Soluciones para el Estado - Vicepresidencia de Operaciones - Dirección de Planeación Estratégica - Dirección de Comunicaciones - Dirección Jurídica - Auditoría Interna - Control Inerno Disciplinario</t>
  </si>
  <si>
    <t>Director(a) de Planeación Estratégica y Sistemas de Información - Analista de Planeación / Dirección de Planeación Estratégica y Sistemas de Información</t>
  </si>
  <si>
    <t>Realizar el autodiagnóstico de la política de "Control Interno" (autodiagnóstico propio)</t>
  </si>
  <si>
    <t>Control Interno</t>
  </si>
  <si>
    <t>Auditor Interno/ Auditoría Interna</t>
  </si>
  <si>
    <t>Auditor de Gestión / Audiroría Interna</t>
  </si>
  <si>
    <t>Auditor Interno - 
Auditor de Gestión / Audiroría Interna</t>
  </si>
  <si>
    <t>Auditor Interno / Audiroría Interna</t>
  </si>
  <si>
    <t xml:space="preserve">Implementar la PGD mediante la adopción de proyectos de transformación digital </t>
  </si>
  <si>
    <t xml:space="preserve">Realizar iniciativa dinamizadora: Sistema de Gestión de Documentos y Archivos  (SGDA) </t>
  </si>
  <si>
    <r>
      <t xml:space="preserve">Implementar  el </t>
    </r>
    <r>
      <rPr>
        <b/>
        <sz val="11"/>
        <color theme="1"/>
        <rFont val="Calibri"/>
        <family val="2"/>
        <scheme val="minor"/>
      </rPr>
      <t xml:space="preserve">SGDA   ORFEO </t>
    </r>
    <r>
      <rPr>
        <sz val="11"/>
        <color theme="1"/>
        <rFont val="Calibri"/>
        <family val="2"/>
        <scheme val="minor"/>
      </rPr>
      <t xml:space="preserve">como proyecto de transformación digital en el Modulo de correspondencia para la administración adecuada de </t>
    </r>
    <r>
      <rPr>
        <b/>
        <sz val="11"/>
        <color theme="1"/>
        <rFont val="Calibri"/>
        <family val="2"/>
        <scheme val="minor"/>
      </rPr>
      <t>13 flujos</t>
    </r>
    <r>
      <rPr>
        <sz val="11"/>
        <color theme="1"/>
        <rFont val="Calibri"/>
        <family val="2"/>
        <scheme val="minor"/>
      </rPr>
      <t xml:space="preserve"> de  Relacionamiento con la Ciudadania (RCC) y control de la gestión documental, que ingresen o salgan de la entidad en la modalidad Software as a Service (SaaS)</t>
    </r>
  </si>
  <si>
    <t>Número de Sistemas Implementados</t>
  </si>
  <si>
    <t>Matriz plan e Informe del Sistema Implementado</t>
  </si>
  <si>
    <t xml:space="preserve"> Gerencia de  Sistemas de Información</t>
  </si>
  <si>
    <t xml:space="preserve">Realizar iniciativa dinamizadora: Sistema de Gestión  de Soporte en Tecnología (ITSM) </t>
  </si>
  <si>
    <r>
      <t xml:space="preserve">Implementar un sistem </t>
    </r>
    <r>
      <rPr>
        <b/>
        <sz val="11"/>
        <color theme="1"/>
        <rFont val="Calibri"/>
        <family val="2"/>
        <scheme val="minor"/>
      </rPr>
      <t>ITSM</t>
    </r>
    <r>
      <rPr>
        <sz val="11"/>
        <color theme="1"/>
        <rFont val="Calibri"/>
        <family val="2"/>
        <scheme val="minor"/>
      </rPr>
      <t xml:space="preserve">  como proyecto de transformación digital  para la atención  de requerimientos  y soporte de Primer Nivel que sean  requeridos  en la entidad en la modalidad Software as a Service (SaaS)</t>
    </r>
  </si>
  <si>
    <t xml:space="preserve">Realizar iniciativa dinamizadora: 
Sistema de Sistema de Vigilancia Judicial (SVJ) </t>
  </si>
  <si>
    <r>
      <t xml:space="preserve">Implementar el </t>
    </r>
    <r>
      <rPr>
        <b/>
        <sz val="11"/>
        <rFont val="Calibri"/>
        <family val="2"/>
        <scheme val="minor"/>
      </rPr>
      <t>SVJ</t>
    </r>
    <r>
      <rPr>
        <sz val="11"/>
        <rFont val="Calibri"/>
        <family val="2"/>
        <scheme val="minor"/>
      </rPr>
      <t xml:space="preserve"> como servicio en la nube de apoyo a la vigilancia del estado jurídico inmobiliario para los inmuebles seleccionados por CISA, en la modalidad Software as a Service (SaaS)</t>
    </r>
  </si>
  <si>
    <t>Trimestre Actual</t>
  </si>
  <si>
    <t xml:space="preserve">Versión 3: </t>
  </si>
  <si>
    <t>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</si>
</sst>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1" x14ac:knownFonts="1">
    <font>
      <sz val="11"/>
      <color theme="1"/>
      <name val="Calibri"/>
      <family val="2"/>
      <scheme val="minor"/>
    </font>
    <font>
      <b/>
      <sz val="14"/>
      <color theme="0"/>
      <name val="Calibri"/>
      <family val="2"/>
      <scheme val="minor"/>
    </font>
    <font>
      <b/>
      <sz val="8"/>
      <color theme="1"/>
      <name val="Calibri"/>
      <family val="2"/>
      <scheme val="minor"/>
    </font>
    <font>
      <b/>
      <sz val="48"/>
      <color rgb="FF2C6B81"/>
      <name val="Calibri"/>
      <family val="2"/>
      <scheme val="minor"/>
    </font>
    <font>
      <sz val="8"/>
      <name val="Calibri"/>
      <family val="2"/>
      <scheme val="minor"/>
    </font>
    <font>
      <b/>
      <sz val="11"/>
      <color theme="1"/>
      <name val="Calibri"/>
      <family val="2"/>
      <scheme val="minor"/>
    </font>
    <font>
      <b/>
      <sz val="20"/>
      <color theme="0"/>
      <name val="Calibri"/>
      <family val="2"/>
      <scheme val="minor"/>
    </font>
    <font>
      <sz val="10"/>
      <name val="Arial"/>
      <family val="2"/>
    </font>
    <font>
      <b/>
      <sz val="14"/>
      <color theme="0"/>
      <name val="Calibri"/>
      <family val="2"/>
    </font>
    <font>
      <sz val="11"/>
      <color theme="1"/>
      <name val="Calibri"/>
      <family val="2"/>
      <scheme val="minor"/>
    </font>
    <font>
      <sz val="11"/>
      <name val="Calibri"/>
      <family val="2"/>
      <scheme val="minor"/>
    </font>
    <font>
      <sz val="11"/>
      <color indexed="72"/>
      <name val="Calibri"/>
      <family val="2"/>
      <scheme val="minor"/>
    </font>
    <font>
      <sz val="11"/>
      <color rgb="FF000000"/>
      <name val="Calibri"/>
      <family val="2"/>
      <scheme val="minor"/>
    </font>
    <font>
      <b/>
      <sz val="11"/>
      <color theme="0"/>
      <name val="Calibri"/>
      <family val="2"/>
      <scheme val="minor"/>
    </font>
    <font>
      <sz val="11"/>
      <color rgb="FFFF0000"/>
      <name val="Calibri"/>
      <family val="2"/>
      <scheme val="minor"/>
    </font>
    <font>
      <sz val="11"/>
      <color theme="1"/>
      <name val="Arial"/>
      <family val="2"/>
    </font>
    <font>
      <sz val="22"/>
      <color theme="1"/>
      <name val="Calibri"/>
      <family val="2"/>
      <scheme val="minor"/>
    </font>
    <font>
      <sz val="11"/>
      <color theme="0"/>
      <name val="Calibri"/>
      <family val="2"/>
      <scheme val="minor"/>
    </font>
    <font>
      <b/>
      <sz val="12"/>
      <color indexed="8"/>
      <name val="Arial"/>
      <family val="2"/>
    </font>
    <font>
      <b/>
      <sz val="11"/>
      <name val="Calibri"/>
      <family val="2"/>
      <scheme val="minor"/>
    </font>
    <font>
      <b/>
      <sz val="4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7" tint="-0.249977111117893"/>
        <bgColor indexed="64"/>
      </patternFill>
    </fill>
    <fill>
      <patternFill patternType="solid">
        <fgColor rgb="FFFFFF00"/>
        <bgColor indexed="64"/>
      </patternFill>
    </fill>
    <fill>
      <patternFill patternType="solid">
        <fgColor rgb="FFB28A4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7" fillId="0" borderId="0"/>
    <xf numFmtId="9" fontId="9" fillId="0" borderId="0" applyFont="0" applyFill="0" applyBorder="0" applyAlignment="0" applyProtection="0"/>
    <xf numFmtId="0" fontId="7" fillId="0" borderId="0" applyNumberFormat="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357">
    <xf numFmtId="0" fontId="0" fillId="0" borderId="0" xfId="0"/>
    <xf numFmtId="0" fontId="0" fillId="0" borderId="0" xfId="0" applyAlignment="1">
      <alignment wrapText="1"/>
    </xf>
    <xf numFmtId="0" fontId="0" fillId="0" borderId="0" xfId="0" applyAlignment="1">
      <alignment vertical="center"/>
    </xf>
    <xf numFmtId="0" fontId="0" fillId="2" borderId="0" xfId="0" applyFill="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5" fillId="2" borderId="0" xfId="0" applyFont="1" applyFill="1"/>
    <xf numFmtId="0" fontId="16" fillId="2" borderId="0" xfId="0" applyFont="1" applyFill="1"/>
    <xf numFmtId="9" fontId="0" fillId="0" borderId="0" xfId="0" applyNumberFormat="1" applyAlignment="1">
      <alignment horizontal="center" vertical="center" wrapText="1"/>
    </xf>
    <xf numFmtId="14" fontId="0" fillId="0" borderId="0" xfId="0" applyNumberFormat="1" applyAlignment="1">
      <alignment horizontal="center" vertical="center"/>
    </xf>
    <xf numFmtId="164" fontId="0" fillId="0" borderId="0" xfId="0" applyNumberFormat="1" applyAlignment="1">
      <alignment horizontal="center" vertical="center" wrapText="1"/>
    </xf>
    <xf numFmtId="9" fontId="0" fillId="0" borderId="0" xfId="0" applyNumberFormat="1" applyAlignment="1">
      <alignment horizontal="center" vertical="center"/>
    </xf>
    <xf numFmtId="0" fontId="12" fillId="0" borderId="0" xfId="0" applyFont="1" applyAlignment="1">
      <alignment horizontal="center" vertical="center" wrapText="1"/>
    </xf>
    <xf numFmtId="9" fontId="0" fillId="0" borderId="1" xfId="2" applyFont="1" applyBorder="1" applyAlignment="1" applyProtection="1">
      <alignment horizontal="center" vertical="center" wrapText="1"/>
    </xf>
    <xf numFmtId="9" fontId="0" fillId="0" borderId="1" xfId="2" applyFont="1" applyFill="1" applyBorder="1" applyAlignment="1" applyProtection="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13" fillId="0" borderId="1" xfId="0" applyFont="1" applyBorder="1" applyAlignment="1" applyProtection="1">
      <alignment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10" fillId="0" borderId="1" xfId="3" applyFont="1" applyFill="1" applyBorder="1" applyAlignment="1" applyProtection="1">
      <alignment horizontal="left" vertical="center" wrapText="1"/>
    </xf>
    <xf numFmtId="9" fontId="0" fillId="0" borderId="1" xfId="2" applyFont="1" applyFill="1" applyBorder="1" applyAlignment="1" applyProtection="1">
      <alignment horizontal="center" vertical="center" wrapText="1"/>
    </xf>
    <xf numFmtId="9" fontId="0" fillId="0" borderId="1" xfId="2" applyFont="1" applyFill="1" applyBorder="1" applyAlignment="1" applyProtection="1">
      <alignment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readingOrder="1"/>
    </xf>
    <xf numFmtId="0" fontId="11" fillId="0" borderId="1" xfId="0" applyFont="1" applyBorder="1" applyAlignment="1">
      <alignment horizontal="left" vertical="center" wrapText="1"/>
    </xf>
    <xf numFmtId="9" fontId="13" fillId="0" borderId="1" xfId="0" applyNumberFormat="1"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2" xfId="0"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4" xfId="0" applyBorder="1" applyAlignment="1">
      <alignment horizontal="left" vertical="center"/>
    </xf>
    <xf numFmtId="9" fontId="0" fillId="0" borderId="4" xfId="0" applyNumberFormat="1" applyBorder="1" applyAlignment="1">
      <alignment horizontal="center" vertical="center" wrapText="1"/>
    </xf>
    <xf numFmtId="0" fontId="0" fillId="0" borderId="4" xfId="0" applyBorder="1" applyAlignment="1">
      <alignment horizontal="left"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9" fontId="0" fillId="0" borderId="1" xfId="0" applyNumberFormat="1" applyBorder="1" applyAlignment="1">
      <alignment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xf>
    <xf numFmtId="0" fontId="0" fillId="0" borderId="1" xfId="0" applyBorder="1" applyAlignment="1">
      <alignment horizontal="left" vertical="top" wrapText="1"/>
    </xf>
    <xf numFmtId="0" fontId="0" fillId="0" borderId="4" xfId="0"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pplyProtection="1">
      <alignment wrapText="1"/>
      <protection locked="0"/>
    </xf>
    <xf numFmtId="9" fontId="0" fillId="0" borderId="1" xfId="2" applyFont="1" applyFill="1" applyBorder="1" applyAlignment="1" applyProtection="1">
      <alignment horizontal="center" vertical="center"/>
      <protection locked="0"/>
    </xf>
    <xf numFmtId="9" fontId="0" fillId="0" borderId="1" xfId="0" applyNumberFormat="1" applyBorder="1" applyAlignment="1" applyProtection="1">
      <alignment horizontal="center" vertical="center" wrapText="1"/>
      <protection locked="0"/>
    </xf>
    <xf numFmtId="14" fontId="0" fillId="0" borderId="6" xfId="0" applyNumberFormat="1" applyBorder="1" applyAlignment="1">
      <alignment horizontal="center" vertical="center"/>
    </xf>
    <xf numFmtId="9" fontId="0" fillId="0" borderId="6" xfId="0" applyNumberFormat="1" applyBorder="1" applyAlignment="1">
      <alignment horizontal="center" vertical="center"/>
    </xf>
    <xf numFmtId="0" fontId="0" fillId="0" borderId="6" xfId="0" applyBorder="1" applyAlignment="1">
      <alignment horizontal="center" vertical="center"/>
    </xf>
    <xf numFmtId="0" fontId="5" fillId="0" borderId="0" xfId="0" applyFont="1" applyAlignment="1">
      <alignment horizontal="left" vertical="center"/>
    </xf>
    <xf numFmtId="164" fontId="0" fillId="0" borderId="1" xfId="0" applyNumberFormat="1" applyBorder="1" applyAlignment="1">
      <alignment horizontal="center" vertical="center"/>
    </xf>
    <xf numFmtId="9" fontId="0" fillId="0" borderId="4" xfId="2" applyFont="1" applyBorder="1" applyAlignment="1" applyProtection="1">
      <alignment horizontal="center" vertical="center" wrapText="1"/>
    </xf>
    <xf numFmtId="9" fontId="0" fillId="0" borderId="1" xfId="0" applyNumberFormat="1" applyBorder="1" applyAlignment="1" applyProtection="1">
      <alignment horizontal="center" vertical="center"/>
      <protection locked="0"/>
    </xf>
    <xf numFmtId="0" fontId="0" fillId="0" borderId="1" xfId="0" applyBorder="1"/>
    <xf numFmtId="0" fontId="0" fillId="0" borderId="4" xfId="0" applyBorder="1" applyAlignment="1" applyProtection="1">
      <alignment horizontal="left" vertical="center" wrapText="1"/>
      <protection locked="0"/>
    </xf>
    <xf numFmtId="0" fontId="0" fillId="0" borderId="1" xfId="0" applyBorder="1" applyProtection="1">
      <protection locked="0"/>
    </xf>
    <xf numFmtId="0" fontId="0" fillId="0" borderId="0" xfId="0" applyAlignment="1">
      <alignment horizontal="center"/>
    </xf>
    <xf numFmtId="9" fontId="0" fillId="0" borderId="1" xfId="2" applyFont="1" applyBorder="1" applyAlignment="1" applyProtection="1">
      <alignment horizontal="center" vertical="center"/>
    </xf>
    <xf numFmtId="9" fontId="0" fillId="0" borderId="1" xfId="0" applyNumberFormat="1" applyBorder="1" applyAlignment="1">
      <alignment vertical="center" wrapText="1"/>
    </xf>
    <xf numFmtId="0" fontId="0" fillId="0" borderId="4" xfId="0" applyBorder="1" applyAlignment="1">
      <alignment horizontal="left" vertical="center" wrapText="1" readingOrder="1"/>
    </xf>
    <xf numFmtId="0" fontId="0" fillId="0" borderId="0" xfId="0" applyProtection="1">
      <protection locked="0"/>
    </xf>
    <xf numFmtId="0" fontId="5" fillId="0" borderId="0" xfId="0" applyFont="1" applyAlignment="1">
      <alignment horizontal="center" vertical="center" wrapText="1"/>
    </xf>
    <xf numFmtId="9" fontId="0" fillId="0" borderId="0" xfId="2" applyFont="1" applyBorder="1" applyAlignment="1">
      <alignment horizontal="center" vertical="center" wrapText="1"/>
    </xf>
    <xf numFmtId="9" fontId="12" fillId="0" borderId="1" xfId="0" applyNumberFormat="1" applyFont="1" applyBorder="1" applyAlignment="1">
      <alignment horizontal="center" vertical="center" wrapText="1"/>
    </xf>
    <xf numFmtId="9" fontId="0" fillId="0" borderId="0" xfId="2" applyFont="1" applyBorder="1" applyAlignment="1">
      <alignment horizontal="center" vertical="center"/>
    </xf>
    <xf numFmtId="9" fontId="0" fillId="0" borderId="0" xfId="2" applyFont="1" applyBorder="1" applyAlignment="1" applyProtection="1">
      <alignment horizontal="center" vertical="center" wrapText="1"/>
    </xf>
    <xf numFmtId="9" fontId="0" fillId="0" borderId="0" xfId="2" applyFont="1" applyBorder="1" applyAlignment="1" applyProtection="1">
      <alignment horizontal="center" vertical="center" wrapText="1" readingOrder="1"/>
    </xf>
    <xf numFmtId="9" fontId="0" fillId="0" borderId="0" xfId="0" applyNumberFormat="1" applyAlignment="1">
      <alignment wrapText="1"/>
    </xf>
    <xf numFmtId="9" fontId="13" fillId="0" borderId="0" xfId="0" applyNumberFormat="1" applyFont="1" applyAlignment="1">
      <alignment horizontal="center" vertical="center" wrapText="1"/>
    </xf>
    <xf numFmtId="9" fontId="0" fillId="0" borderId="0" xfId="0" applyNumberFormat="1"/>
    <xf numFmtId="9" fontId="0" fillId="0" borderId="1" xfId="2"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pplyProtection="1">
      <alignment wrapText="1"/>
      <protection locked="0"/>
    </xf>
    <xf numFmtId="9" fontId="17" fillId="0" borderId="0" xfId="0" applyNumberFormat="1" applyFont="1" applyAlignment="1">
      <alignment wrapText="1"/>
    </xf>
    <xf numFmtId="0" fontId="17" fillId="0" borderId="0" xfId="0" applyFont="1" applyAlignment="1">
      <alignment horizontal="center" vertical="center"/>
    </xf>
    <xf numFmtId="0" fontId="17" fillId="0" borderId="0" xfId="0" applyFont="1"/>
    <xf numFmtId="0" fontId="17" fillId="0" borderId="0" xfId="0" applyFont="1" applyProtection="1">
      <protection locked="0"/>
    </xf>
    <xf numFmtId="9" fontId="17" fillId="0" borderId="0" xfId="0" applyNumberFormat="1" applyFont="1"/>
    <xf numFmtId="9" fontId="13" fillId="0" borderId="0" xfId="0" applyNumberFormat="1" applyFont="1" applyAlignment="1">
      <alignment horizontal="center"/>
    </xf>
    <xf numFmtId="9" fontId="10" fillId="0" borderId="0" xfId="0" applyNumberFormat="1" applyFont="1"/>
    <xf numFmtId="9" fontId="19" fillId="0" borderId="0" xfId="0" applyNumberFormat="1" applyFont="1" applyAlignment="1">
      <alignment horizontal="center" vertical="center" wrapText="1"/>
    </xf>
    <xf numFmtId="0" fontId="10" fillId="0" borderId="0" xfId="0" applyFont="1"/>
    <xf numFmtId="9" fontId="19" fillId="0" borderId="0" xfId="0" applyNumberFormat="1" applyFont="1" applyAlignment="1">
      <alignment horizontal="center"/>
    </xf>
    <xf numFmtId="9" fontId="5" fillId="0" borderId="0" xfId="0" applyNumberFormat="1" applyFont="1" applyAlignment="1">
      <alignment horizontal="center"/>
    </xf>
    <xf numFmtId="9" fontId="5" fillId="0" borderId="0" xfId="2" applyFont="1" applyAlignment="1">
      <alignment horizontal="center"/>
    </xf>
    <xf numFmtId="0" fontId="10" fillId="0" borderId="0" xfId="0" applyFont="1" applyAlignment="1">
      <alignment horizontal="center" vertical="center"/>
    </xf>
    <xf numFmtId="0" fontId="18" fillId="0" borderId="1" xfId="0" applyFont="1" applyBorder="1" applyAlignment="1">
      <alignment vertical="center" wrapText="1"/>
    </xf>
    <xf numFmtId="9" fontId="18" fillId="0" borderId="1" xfId="0" applyNumberFormat="1" applyFont="1" applyBorder="1" applyAlignment="1">
      <alignment horizontal="center" vertical="center" wrapText="1"/>
    </xf>
    <xf numFmtId="9" fontId="19" fillId="0" borderId="0" xfId="2" applyFont="1" applyAlignment="1">
      <alignment horizontal="center"/>
    </xf>
    <xf numFmtId="0" fontId="10" fillId="0" borderId="0" xfId="0" applyFont="1" applyAlignment="1">
      <alignment horizontal="center"/>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8" fillId="4" borderId="1" xfId="1" applyFont="1" applyFill="1" applyBorder="1" applyAlignment="1">
      <alignment horizontal="center" vertical="center" textRotation="90" wrapText="1"/>
    </xf>
    <xf numFmtId="0" fontId="6" fillId="4" borderId="1" xfId="0" applyFont="1" applyFill="1" applyBorder="1" applyAlignment="1">
      <alignment vertical="center" wrapText="1"/>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6" fillId="4" borderId="9" xfId="0" applyFont="1" applyFill="1" applyBorder="1" applyAlignment="1">
      <alignment vertical="center" wrapText="1"/>
    </xf>
    <xf numFmtId="0" fontId="6" fillId="4" borderId="5" xfId="0" applyFont="1"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wrapText="1"/>
    </xf>
    <xf numFmtId="0" fontId="0" fillId="4" borderId="1" xfId="0" applyFill="1" applyBorder="1" applyAlignment="1" applyProtection="1">
      <alignment wrapText="1"/>
      <protection locked="0"/>
    </xf>
    <xf numFmtId="9" fontId="0" fillId="4" borderId="1" xfId="0" applyNumberFormat="1" applyFill="1" applyBorder="1" applyAlignment="1">
      <alignment wrapText="1"/>
    </xf>
    <xf numFmtId="14" fontId="0" fillId="4"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0" fontId="0" fillId="4" borderId="1" xfId="0" applyFill="1" applyBorder="1" applyAlignment="1" applyProtection="1">
      <alignment horizontal="center" vertical="center" wrapText="1"/>
      <protection locked="0"/>
    </xf>
    <xf numFmtId="9" fontId="0" fillId="4" borderId="1" xfId="0" applyNumberForma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1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0" fontId="0" fillId="4" borderId="1" xfId="0" applyFill="1" applyBorder="1" applyAlignment="1" applyProtection="1">
      <alignment horizontal="left" vertical="center" wrapText="1"/>
      <protection locked="0"/>
    </xf>
    <xf numFmtId="9" fontId="0" fillId="4" borderId="1" xfId="0" applyNumberFormat="1" applyFill="1" applyBorder="1" applyAlignment="1">
      <alignment horizontal="left" vertical="center" wrapText="1"/>
    </xf>
    <xf numFmtId="0" fontId="0" fillId="4" borderId="1" xfId="0" applyFill="1" applyBorder="1"/>
    <xf numFmtId="0" fontId="0" fillId="4" borderId="1" xfId="0" applyFill="1" applyBorder="1" applyProtection="1">
      <protection locked="0"/>
    </xf>
    <xf numFmtId="9" fontId="0" fillId="4" borderId="1" xfId="0" applyNumberFormat="1" applyFill="1" applyBorder="1"/>
    <xf numFmtId="9" fontId="13" fillId="4" borderId="1" xfId="0" applyNumberFormat="1" applyFont="1" applyFill="1" applyBorder="1" applyAlignment="1">
      <alignment horizontal="center"/>
    </xf>
    <xf numFmtId="9" fontId="13" fillId="4" borderId="1" xfId="2" applyFont="1" applyFill="1" applyBorder="1" applyAlignment="1" applyProtection="1">
      <alignment horizontal="center" vertical="center" wrapText="1"/>
    </xf>
    <xf numFmtId="9" fontId="0" fillId="4" borderId="1" xfId="2" applyFont="1" applyFill="1" applyBorder="1" applyAlignment="1" applyProtection="1">
      <alignment horizontal="center" vertical="center" wrapText="1"/>
    </xf>
    <xf numFmtId="0" fontId="0" fillId="4" borderId="6" xfId="0" applyFill="1" applyBorder="1" applyAlignment="1">
      <alignment horizontal="left" vertical="center"/>
    </xf>
    <xf numFmtId="0" fontId="0" fillId="4" borderId="6" xfId="0" applyFill="1" applyBorder="1" applyAlignment="1">
      <alignment horizontal="left" vertical="center" wrapText="1"/>
    </xf>
    <xf numFmtId="0" fontId="0" fillId="4" borderId="6" xfId="0" applyFill="1" applyBorder="1" applyAlignment="1">
      <alignment horizontal="center" vertical="center" wrapText="1"/>
    </xf>
    <xf numFmtId="0" fontId="0" fillId="4" borderId="6" xfId="0" applyFill="1" applyBorder="1" applyAlignment="1">
      <alignment wrapText="1"/>
    </xf>
    <xf numFmtId="0" fontId="0" fillId="4" borderId="6" xfId="0" applyFill="1" applyBorder="1" applyAlignment="1" applyProtection="1">
      <alignment wrapText="1"/>
      <protection locked="0"/>
    </xf>
    <xf numFmtId="9" fontId="0" fillId="4" borderId="6" xfId="0" applyNumberFormat="1" applyFill="1" applyBorder="1" applyAlignment="1">
      <alignment wrapText="1"/>
    </xf>
    <xf numFmtId="9" fontId="13" fillId="4" borderId="6" xfId="0" applyNumberFormat="1" applyFont="1" applyFill="1" applyBorder="1" applyAlignment="1">
      <alignment horizontal="center" vertical="center" wrapText="1"/>
    </xf>
    <xf numFmtId="0" fontId="0" fillId="4" borderId="6" xfId="0" applyFill="1" applyBorder="1" applyAlignment="1">
      <alignment horizontal="center" vertical="center"/>
    </xf>
    <xf numFmtId="0" fontId="0" fillId="4" borderId="6" xfId="0" applyFill="1" applyBorder="1"/>
    <xf numFmtId="0" fontId="0" fillId="4" borderId="6" xfId="0" applyFill="1" applyBorder="1" applyProtection="1">
      <protection locked="0"/>
    </xf>
    <xf numFmtId="9" fontId="0" fillId="4" borderId="6" xfId="0" applyNumberFormat="1" applyFill="1" applyBorder="1"/>
    <xf numFmtId="9" fontId="13" fillId="4" borderId="6" xfId="0" applyNumberFormat="1" applyFont="1" applyFill="1" applyBorder="1" applyAlignment="1">
      <alignment horizontal="center"/>
    </xf>
    <xf numFmtId="164" fontId="0" fillId="4" borderId="6" xfId="0" applyNumberFormat="1" applyFill="1" applyBorder="1" applyAlignment="1">
      <alignment horizontal="center" vertical="center"/>
    </xf>
    <xf numFmtId="0" fontId="5" fillId="4" borderId="6"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wrapText="1"/>
    </xf>
    <xf numFmtId="0" fontId="5" fillId="4" borderId="6" xfId="0" applyFont="1" applyFill="1" applyBorder="1" applyAlignment="1">
      <alignment horizontal="center" vertical="center"/>
    </xf>
    <xf numFmtId="0" fontId="5" fillId="4" borderId="6" xfId="0" applyFont="1" applyFill="1" applyBorder="1"/>
    <xf numFmtId="0" fontId="5" fillId="4" borderId="6" xfId="0" applyFont="1" applyFill="1" applyBorder="1" applyProtection="1">
      <protection locked="0"/>
    </xf>
    <xf numFmtId="0" fontId="5" fillId="4" borderId="11" xfId="0" applyFont="1" applyFill="1" applyBorder="1" applyAlignment="1">
      <alignment horizontal="center" vertical="center"/>
    </xf>
    <xf numFmtId="9" fontId="10" fillId="0" borderId="1" xfId="3" applyNumberFormat="1" applyFont="1" applyBorder="1" applyAlignment="1">
      <alignment horizontal="center" vertical="center" wrapText="1"/>
    </xf>
    <xf numFmtId="0" fontId="0" fillId="5" borderId="1" xfId="0" applyFill="1" applyBorder="1" applyAlignment="1">
      <alignment horizontal="left" vertical="center" wrapText="1"/>
    </xf>
    <xf numFmtId="9"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9" fontId="0" fillId="5" borderId="1" xfId="2" applyFont="1" applyFill="1" applyBorder="1" applyAlignment="1" applyProtection="1">
      <alignment horizontal="center" vertical="center" wrapText="1"/>
    </xf>
    <xf numFmtId="14" fontId="0" fillId="5" borderId="1" xfId="0" applyNumberFormat="1" applyFill="1" applyBorder="1" applyAlignment="1">
      <alignment horizontal="center" vertical="center"/>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xf>
    <xf numFmtId="9" fontId="0" fillId="3" borderId="1" xfId="2" applyFont="1" applyFill="1" applyBorder="1" applyAlignment="1" applyProtection="1">
      <alignment horizontal="center" vertical="center" wrapText="1"/>
    </xf>
    <xf numFmtId="0" fontId="0" fillId="5" borderId="1" xfId="0" applyFill="1" applyBorder="1" applyAlignment="1">
      <alignment wrapText="1"/>
    </xf>
    <xf numFmtId="0" fontId="0" fillId="5" borderId="1" xfId="0" applyFill="1" applyBorder="1" applyAlignment="1" applyProtection="1">
      <alignment wrapText="1"/>
      <protection locked="0"/>
    </xf>
    <xf numFmtId="9" fontId="0" fillId="5" borderId="1" xfId="0" applyNumberFormat="1" applyFill="1" applyBorder="1" applyAlignment="1">
      <alignment horizontal="center" vertical="center"/>
    </xf>
    <xf numFmtId="9" fontId="0" fillId="5" borderId="1" xfId="0" applyNumberFormat="1" applyFill="1" applyBorder="1" applyAlignment="1" applyProtection="1">
      <alignment horizontal="center" vertical="center" wrapText="1"/>
      <protection locked="0"/>
    </xf>
    <xf numFmtId="0" fontId="20"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center" vertical="center"/>
    </xf>
    <xf numFmtId="0" fontId="0" fillId="5" borderId="0" xfId="0" applyFill="1"/>
    <xf numFmtId="0" fontId="0" fillId="5" borderId="1" xfId="0" applyFill="1" applyBorder="1" applyAlignment="1">
      <alignment horizontal="left" vertical="center"/>
    </xf>
    <xf numFmtId="0" fontId="10"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9" fontId="0" fillId="5" borderId="1" xfId="0" applyNumberFormat="1" applyFill="1" applyBorder="1" applyAlignment="1" applyProtection="1">
      <alignment horizontal="center" vertical="center"/>
      <protection locked="0"/>
    </xf>
    <xf numFmtId="0" fontId="14" fillId="5" borderId="1" xfId="0" applyFont="1" applyFill="1" applyBorder="1" applyAlignment="1">
      <alignment wrapText="1"/>
    </xf>
    <xf numFmtId="0" fontId="14" fillId="5" borderId="1" xfId="0" applyFont="1" applyFill="1" applyBorder="1" applyAlignment="1" applyProtection="1">
      <alignment wrapText="1"/>
      <protection locked="0"/>
    </xf>
    <xf numFmtId="0" fontId="0" fillId="2" borderId="4" xfId="0" applyFill="1" applyBorder="1" applyAlignment="1">
      <alignment horizontal="left" vertical="center"/>
    </xf>
    <xf numFmtId="0" fontId="0" fillId="2" borderId="1" xfId="0" applyFill="1" applyBorder="1" applyAlignment="1">
      <alignment horizontal="left" vertical="center" wrapText="1"/>
    </xf>
    <xf numFmtId="9" fontId="0" fillId="2" borderId="0" xfId="2" applyFont="1"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9" fontId="0" fillId="2" borderId="1" xfId="2" applyFont="1" applyFill="1" applyBorder="1" applyAlignment="1" applyProtection="1">
      <alignment horizontal="center" vertical="center" wrapText="1"/>
    </xf>
    <xf numFmtId="14"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vertical="center"/>
    </xf>
    <xf numFmtId="0" fontId="0" fillId="2" borderId="1" xfId="0" applyFill="1" applyBorder="1" applyAlignment="1">
      <alignment wrapText="1"/>
    </xf>
    <xf numFmtId="0" fontId="0" fillId="2" borderId="1" xfId="0" applyFill="1" applyBorder="1" applyAlignment="1" applyProtection="1">
      <alignment wrapText="1"/>
      <protection locked="0"/>
    </xf>
    <xf numFmtId="9" fontId="0" fillId="2" borderId="1" xfId="0" applyNumberFormat="1" applyFill="1" applyBorder="1" applyAlignment="1">
      <alignment wrapText="1"/>
    </xf>
    <xf numFmtId="9" fontId="0" fillId="2" borderId="1" xfId="0" applyNumberFormat="1" applyFill="1" applyBorder="1" applyAlignment="1">
      <alignment horizontal="center" vertical="center"/>
    </xf>
    <xf numFmtId="9" fontId="0" fillId="2" borderId="1" xfId="0" applyNumberFormat="1" applyFill="1" applyBorder="1" applyAlignment="1" applyProtection="1">
      <alignment horizontal="center" vertical="center" wrapText="1"/>
      <protection locked="0"/>
    </xf>
    <xf numFmtId="0" fontId="0" fillId="2" borderId="4" xfId="0" applyFill="1" applyBorder="1" applyAlignment="1">
      <alignment horizontal="left" vertical="center" wrapText="1"/>
    </xf>
    <xf numFmtId="9" fontId="0" fillId="2" borderId="0" xfId="0" applyNumberFormat="1" applyFill="1" applyAlignment="1">
      <alignment horizontal="center" vertical="center" wrapText="1"/>
    </xf>
    <xf numFmtId="14"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9" fontId="0" fillId="2" borderId="1" xfId="2" applyFont="1" applyFill="1" applyBorder="1" applyAlignment="1">
      <alignment horizontal="center" vertical="center" wrapText="1"/>
    </xf>
    <xf numFmtId="9" fontId="0" fillId="2" borderId="1" xfId="2" applyFont="1" applyFill="1" applyBorder="1" applyAlignment="1" applyProtection="1">
      <alignment horizontal="center" vertical="center" wrapText="1"/>
      <protection locked="0"/>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9" fontId="0" fillId="2" borderId="4" xfId="0" applyNumberFormat="1" applyFill="1" applyBorder="1" applyAlignment="1">
      <alignment horizontal="center" vertical="center" wrapText="1"/>
    </xf>
    <xf numFmtId="0" fontId="12" fillId="2" borderId="1" xfId="0" applyFont="1" applyFill="1" applyBorder="1" applyAlignment="1">
      <alignment horizontal="center" vertical="center" wrapText="1"/>
    </xf>
    <xf numFmtId="9" fontId="0" fillId="0" borderId="0" xfId="2" applyFont="1" applyFill="1" applyBorder="1" applyAlignment="1" applyProtection="1">
      <alignment horizontal="center" vertical="center" wrapText="1" readingOrder="1"/>
    </xf>
    <xf numFmtId="9" fontId="0" fillId="0" borderId="0" xfId="2" applyFont="1" applyFill="1" applyBorder="1" applyAlignment="1" applyProtection="1">
      <alignment horizontal="center" vertical="center" wrapText="1"/>
    </xf>
    <xf numFmtId="9" fontId="0" fillId="0" borderId="4" xfId="2" applyFont="1" applyFill="1" applyBorder="1" applyAlignment="1" applyProtection="1">
      <alignment horizontal="center" vertical="center" wrapText="1"/>
    </xf>
    <xf numFmtId="0" fontId="3" fillId="0" borderId="0" xfId="0" applyFont="1" applyAlignment="1">
      <alignment vertical="center"/>
    </xf>
    <xf numFmtId="0" fontId="20" fillId="0" borderId="0" xfId="0" applyFont="1" applyAlignment="1">
      <alignment vertical="center"/>
    </xf>
    <xf numFmtId="0" fontId="6" fillId="6" borderId="12" xfId="0" applyFont="1" applyFill="1" applyBorder="1" applyAlignment="1">
      <alignment horizontal="center" vertical="center" wrapText="1"/>
    </xf>
    <xf numFmtId="0" fontId="0" fillId="6" borderId="0" xfId="0" applyFill="1" applyAlignment="1">
      <alignment horizontal="center"/>
    </xf>
    <xf numFmtId="0" fontId="6" fillId="6" borderId="5"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7"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1" fillId="6" borderId="7" xfId="0" applyNumberFormat="1" applyFont="1" applyFill="1" applyBorder="1" applyAlignment="1">
      <alignment horizontal="center" vertical="center" wrapText="1"/>
    </xf>
    <xf numFmtId="0" fontId="8" fillId="6" borderId="1" xfId="1" applyFont="1" applyFill="1" applyBorder="1" applyAlignment="1">
      <alignment horizontal="center" vertical="center" textRotation="90" wrapText="1"/>
    </xf>
    <xf numFmtId="0" fontId="0" fillId="0" borderId="4" xfId="0" applyBorder="1" applyAlignment="1">
      <alignment wrapText="1"/>
    </xf>
    <xf numFmtId="0" fontId="0" fillId="0" borderId="4" xfId="0" applyBorder="1" applyAlignment="1" applyProtection="1">
      <alignment wrapText="1"/>
      <protection locked="0"/>
    </xf>
    <xf numFmtId="1" fontId="0" fillId="0" borderId="4" xfId="0" applyNumberFormat="1" applyBorder="1" applyAlignment="1">
      <alignment horizontal="center" vertical="center"/>
    </xf>
    <xf numFmtId="0" fontId="0" fillId="0" borderId="4" xfId="0" applyBorder="1" applyAlignment="1">
      <alignment horizontal="center" vertical="center"/>
    </xf>
    <xf numFmtId="9" fontId="0" fillId="0" borderId="4" xfId="0" applyNumberFormat="1" applyBorder="1" applyAlignment="1">
      <alignment horizontal="center" vertical="center"/>
    </xf>
    <xf numFmtId="9" fontId="0" fillId="0" borderId="4" xfId="0" applyNumberFormat="1" applyBorder="1" applyAlignment="1" applyProtection="1">
      <alignment horizontal="center" vertical="center"/>
      <protection locked="0"/>
    </xf>
    <xf numFmtId="0" fontId="12" fillId="0" borderId="4" xfId="0" applyFont="1" applyBorder="1" applyAlignment="1">
      <alignment horizontal="center" vertical="center" wrapText="1"/>
    </xf>
    <xf numFmtId="9" fontId="0" fillId="0" borderId="1" xfId="2" applyFont="1" applyBorder="1" applyAlignment="1" applyProtection="1">
      <alignment horizontal="left" vertical="center" wrapText="1"/>
    </xf>
    <xf numFmtId="9" fontId="0" fillId="0" borderId="1" xfId="2" applyFont="1" applyBorder="1" applyAlignment="1" applyProtection="1">
      <alignment wrapText="1"/>
    </xf>
    <xf numFmtId="49" fontId="10" fillId="0" borderId="1" xfId="0" applyNumberFormat="1" applyFont="1" applyBorder="1" applyAlignment="1">
      <alignment horizontal="left" vertical="center" wrapText="1"/>
    </xf>
    <xf numFmtId="0" fontId="14" fillId="0" borderId="0" xfId="0" applyFont="1"/>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wrapText="1"/>
    </xf>
    <xf numFmtId="0" fontId="14" fillId="0" borderId="1" xfId="0" applyFont="1" applyBorder="1" applyAlignment="1" applyProtection="1">
      <alignment wrapText="1"/>
      <protection locked="0"/>
    </xf>
    <xf numFmtId="0" fontId="0" fillId="0" borderId="6" xfId="0" applyBorder="1" applyAlignment="1">
      <alignment horizontal="left" vertical="center"/>
    </xf>
    <xf numFmtId="0" fontId="0" fillId="0" borderId="6" xfId="0" applyBorder="1" applyAlignment="1">
      <alignment wrapText="1"/>
    </xf>
    <xf numFmtId="0" fontId="0" fillId="0" borderId="6" xfId="0" applyBorder="1" applyAlignment="1" applyProtection="1">
      <alignment wrapText="1"/>
      <protection locked="0"/>
    </xf>
    <xf numFmtId="9" fontId="0" fillId="0" borderId="6" xfId="0" applyNumberFormat="1" applyBorder="1" applyAlignment="1">
      <alignment horizontal="center" vertical="center" wrapText="1"/>
    </xf>
    <xf numFmtId="164" fontId="0" fillId="0" borderId="6" xfId="0" applyNumberFormat="1" applyBorder="1" applyAlignment="1">
      <alignment horizontal="center" vertical="center" wrapText="1"/>
    </xf>
    <xf numFmtId="9" fontId="0" fillId="0" borderId="6" xfId="0" applyNumberFormat="1" applyBorder="1" applyAlignment="1" applyProtection="1">
      <alignment horizontal="center" vertical="center"/>
      <protection locked="0"/>
    </xf>
    <xf numFmtId="9" fontId="0" fillId="0" borderId="6" xfId="2" applyFont="1" applyBorder="1" applyAlignment="1" applyProtection="1">
      <alignment horizontal="center" vertical="center" wrapText="1"/>
    </xf>
    <xf numFmtId="0" fontId="12" fillId="0" borderId="6" xfId="0" applyFont="1" applyBorder="1" applyAlignment="1">
      <alignment horizontal="center" vertical="center" wrapText="1"/>
    </xf>
    <xf numFmtId="164" fontId="0" fillId="0" borderId="4" xfId="0" applyNumberFormat="1" applyBorder="1" applyAlignment="1">
      <alignment horizontal="center" vertical="center" wrapText="1"/>
    </xf>
    <xf numFmtId="9" fontId="0" fillId="0" borderId="1" xfId="2" applyFont="1" applyFill="1" applyBorder="1" applyAlignment="1" applyProtection="1">
      <alignment horizontal="left" vertical="center" wrapText="1"/>
    </xf>
    <xf numFmtId="9" fontId="0" fillId="5" borderId="1" xfId="2" applyFont="1" applyFill="1" applyBorder="1" applyAlignment="1" applyProtection="1">
      <alignment wrapText="1"/>
    </xf>
    <xf numFmtId="0" fontId="0" fillId="5" borderId="1" xfId="0" applyFill="1" applyBorder="1" applyAlignment="1">
      <alignment horizontal="justify" vertical="center" wrapText="1"/>
    </xf>
    <xf numFmtId="0" fontId="10" fillId="0" borderId="1" xfId="0" applyFont="1" applyBorder="1" applyAlignment="1">
      <alignment horizontal="justify" vertical="center" wrapText="1"/>
    </xf>
    <xf numFmtId="0" fontId="0" fillId="0" borderId="1" xfId="0" applyBorder="1" applyAlignment="1">
      <alignment horizontal="justify" vertical="center" wrapText="1"/>
    </xf>
    <xf numFmtId="0" fontId="0" fillId="5" borderId="4" xfId="0" applyFill="1" applyBorder="1" applyAlignment="1">
      <alignment horizontal="left" vertical="center" wrapText="1"/>
    </xf>
    <xf numFmtId="0" fontId="10" fillId="0" borderId="4" xfId="0" applyFont="1" applyBorder="1" applyAlignment="1">
      <alignment horizontal="left" vertical="center" wrapText="1"/>
    </xf>
    <xf numFmtId="0" fontId="0" fillId="0" borderId="17" xfId="0" applyBorder="1" applyAlignment="1">
      <alignment horizontal="center" vertical="center" wrapText="1"/>
    </xf>
    <xf numFmtId="0" fontId="0" fillId="0" borderId="17" xfId="0" applyBorder="1" applyAlignment="1">
      <alignment horizontal="left" vertical="center" wrapText="1"/>
    </xf>
    <xf numFmtId="14" fontId="0" fillId="0" borderId="17" xfId="0" applyNumberFormat="1" applyBorder="1" applyAlignment="1">
      <alignment horizontal="center" vertical="center" wrapText="1"/>
    </xf>
    <xf numFmtId="164" fontId="0" fillId="0" borderId="17" xfId="0" applyNumberFormat="1" applyBorder="1" applyAlignment="1">
      <alignment horizontal="center" vertical="center" wrapText="1"/>
    </xf>
    <xf numFmtId="0" fontId="0" fillId="0" borderId="17" xfId="0" applyBorder="1" applyAlignment="1">
      <alignment horizontal="center" vertical="center"/>
    </xf>
    <xf numFmtId="9" fontId="0" fillId="0" borderId="17" xfId="0" applyNumberForma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0" fillId="7" borderId="1" xfId="0"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0" fillId="7" borderId="17" xfId="0"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0" fillId="3" borderId="4" xfId="0" applyFill="1" applyBorder="1" applyAlignment="1">
      <alignment horizontal="left" vertical="center" wrapText="1"/>
    </xf>
    <xf numFmtId="0" fontId="12" fillId="0" borderId="19" xfId="0" applyFont="1" applyBorder="1" applyAlignment="1">
      <alignment horizontal="center" vertical="center" wrapText="1"/>
    </xf>
    <xf numFmtId="0" fontId="0" fillId="8" borderId="1" xfId="0" applyFill="1" applyBorder="1" applyAlignment="1">
      <alignment horizontal="lef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49" fontId="10" fillId="0" borderId="1" xfId="0" applyNumberFormat="1" applyFont="1" applyBorder="1" applyAlignment="1">
      <alignment horizontal="justify" vertical="center" wrapText="1"/>
    </xf>
    <xf numFmtId="9" fontId="0" fillId="9" borderId="1" xfId="0" applyNumberFormat="1" applyFill="1" applyBorder="1" applyAlignment="1">
      <alignment horizontal="center" vertical="center"/>
    </xf>
    <xf numFmtId="9" fontId="0" fillId="9" borderId="1" xfId="0" applyNumberFormat="1" applyFill="1" applyBorder="1" applyAlignment="1" applyProtection="1">
      <alignment horizontal="center" vertical="center"/>
      <protection locked="0"/>
    </xf>
    <xf numFmtId="9" fontId="0" fillId="9" borderId="1" xfId="2" applyFont="1" applyFill="1" applyBorder="1" applyAlignment="1" applyProtection="1">
      <alignment horizontal="center" vertical="center" wrapText="1"/>
    </xf>
    <xf numFmtId="164" fontId="0" fillId="2" borderId="4" xfId="0" applyNumberFormat="1" applyFill="1" applyBorder="1" applyAlignment="1">
      <alignment horizontal="center" vertical="center" wrapText="1"/>
    </xf>
    <xf numFmtId="9" fontId="0" fillId="2" borderId="1" xfId="0" applyNumberFormat="1" applyFill="1" applyBorder="1" applyAlignment="1" applyProtection="1">
      <alignment horizontal="center" vertical="center"/>
      <protection locked="0"/>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9" fontId="14" fillId="2" borderId="1" xfId="0" applyNumberFormat="1" applyFont="1" applyFill="1" applyBorder="1" applyAlignment="1">
      <alignment horizontal="center" vertical="center" wrapText="1"/>
    </xf>
    <xf numFmtId="0" fontId="0" fillId="9" borderId="4" xfId="0" applyFill="1" applyBorder="1" applyAlignment="1">
      <alignment horizontal="left" vertical="center" wrapText="1"/>
    </xf>
    <xf numFmtId="1" fontId="0" fillId="2" borderId="1" xfId="0" applyNumberFormat="1" applyFill="1" applyBorder="1" applyAlignment="1">
      <alignment horizontal="center" vertical="center"/>
    </xf>
    <xf numFmtId="0" fontId="14" fillId="2" borderId="1" xfId="0" applyFont="1" applyFill="1" applyBorder="1" applyAlignment="1">
      <alignment horizontal="center" vertical="center" wrapText="1"/>
    </xf>
    <xf numFmtId="0" fontId="0" fillId="9" borderId="1" xfId="0" applyFill="1" applyBorder="1" applyAlignment="1">
      <alignment horizontal="left" vertical="center" wrapText="1"/>
    </xf>
    <xf numFmtId="0" fontId="6" fillId="4" borderId="1" xfId="0" applyFont="1" applyFill="1" applyBorder="1" applyAlignment="1">
      <alignment horizontal="center" vertical="center" wrapText="1"/>
    </xf>
    <xf numFmtId="9" fontId="0" fillId="0" borderId="4" xfId="0" applyNumberFormat="1" applyBorder="1" applyAlignment="1">
      <alignment horizontal="right" vertical="center" wrapText="1"/>
    </xf>
    <xf numFmtId="14" fontId="0" fillId="0" borderId="4" xfId="0" applyNumberFormat="1" applyBorder="1" applyAlignment="1">
      <alignment horizontal="center" vertical="center"/>
    </xf>
    <xf numFmtId="1" fontId="10" fillId="0" borderId="1" xfId="0" applyNumberFormat="1" applyFont="1" applyBorder="1" applyAlignment="1">
      <alignment horizontal="center" vertical="center" wrapText="1"/>
    </xf>
    <xf numFmtId="9" fontId="0" fillId="0" borderId="6" xfId="2" applyFont="1" applyFill="1" applyBorder="1" applyAlignment="1" applyProtection="1">
      <alignment horizontal="center" vertical="center" wrapText="1"/>
    </xf>
    <xf numFmtId="0" fontId="0" fillId="0" borderId="1" xfId="0" applyBorder="1" applyAlignment="1">
      <alignment vertical="center"/>
    </xf>
    <xf numFmtId="0" fontId="19" fillId="0" borderId="0" xfId="0" applyFont="1" applyAlignment="1">
      <alignment horizontal="center" vertical="center"/>
    </xf>
    <xf numFmtId="9" fontId="19" fillId="0" borderId="0" xfId="0" applyNumberFormat="1" applyFont="1" applyAlignment="1">
      <alignment horizontal="center" vertical="center"/>
    </xf>
    <xf numFmtId="0" fontId="0" fillId="2" borderId="0" xfId="0" applyFill="1" applyAlignment="1">
      <alignment horizontal="left"/>
    </xf>
    <xf numFmtId="9" fontId="0" fillId="0" borderId="1" xfId="2" applyFont="1" applyBorder="1" applyAlignment="1" applyProtection="1">
      <alignment horizontal="center" vertical="center" wrapText="1"/>
      <protection locked="0"/>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0" fillId="0" borderId="0" xfId="0" applyFont="1" applyAlignment="1">
      <alignment horizontal="center" vertical="center"/>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1" fillId="4" borderId="9"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6" xfId="0" applyFont="1" applyFill="1" applyBorder="1" applyAlignment="1">
      <alignment horizontal="center"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6" xfId="0" applyFont="1" applyFill="1" applyBorder="1" applyAlignment="1">
      <alignment horizontal="center" vertical="center" wrapText="1"/>
    </xf>
    <xf numFmtId="0" fontId="6" fillId="6" borderId="0" xfId="0" applyFont="1" applyFill="1" applyAlignment="1">
      <alignment horizontal="center" vertical="center"/>
    </xf>
    <xf numFmtId="0" fontId="6" fillId="6" borderId="5" xfId="0" applyFont="1" applyFill="1" applyBorder="1" applyAlignment="1">
      <alignment horizontal="center" vertical="center"/>
    </xf>
    <xf numFmtId="0" fontId="1" fillId="6" borderId="9"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3" fillId="0" borderId="0" xfId="0" applyFont="1" applyAlignment="1">
      <alignment horizontal="center" vertical="center"/>
    </xf>
  </cellXfs>
  <cellStyles count="6">
    <cellStyle name="Millares 2" xfId="4" xr:uid="{03109DCF-0FE1-4988-BF70-BA07282CEA76}"/>
    <cellStyle name="Millares 2 2" xfId="5" xr:uid="{00E5C047-BA5C-42A7-8DA4-4FFB176C0476}"/>
    <cellStyle name="Normal" xfId="0" builtinId="0"/>
    <cellStyle name="Normal 2" xfId="3" xr:uid="{B85F29AE-A962-40DC-9AB9-4D2406F2F731}"/>
    <cellStyle name="Normal 4" xfId="1" xr:uid="{7C3396A7-D323-4C38-931B-6F6AE7804B7B}"/>
    <cellStyle name="Porcentaje" xfId="2" builtinId="5"/>
  </cellStyles>
  <dxfs count="1232">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B28A4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B28A4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indent="0" justifyLastLine="0" shrinkToFit="0"/>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1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font>
        <strike val="0"/>
        <outline val="0"/>
        <shadow val="0"/>
        <u val="none"/>
        <vertAlign val="baseline"/>
        <sz val="11"/>
        <color theme="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font>
        <strike val="0"/>
        <outline val="0"/>
        <shadow val="0"/>
        <u val="none"/>
        <vertAlign val="baseline"/>
        <sz val="11"/>
        <color theme="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1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protection locked="1" hidden="0"/>
    </dxf>
    <dxf>
      <font>
        <strike val="0"/>
        <outline val="0"/>
        <shadow val="0"/>
        <u val="none"/>
        <vertAlign val="baseline"/>
        <sz val="1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2C6B81"/>
      <color rgb="FF006C65"/>
      <color rgb="FF006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251353</xdr:colOff>
      <xdr:row>0</xdr:row>
      <xdr:rowOff>119061</xdr:rowOff>
    </xdr:from>
    <xdr:to>
      <xdr:col>5</xdr:col>
      <xdr:colOff>260349</xdr:colOff>
      <xdr:row>5</xdr:row>
      <xdr:rowOff>120650</xdr:rowOff>
    </xdr:to>
    <xdr:pic>
      <xdr:nvPicPr>
        <xdr:cNvPr id="83" name="Imagen 82">
          <a:extLst>
            <a:ext uri="{FF2B5EF4-FFF2-40B4-BE49-F238E27FC236}">
              <a16:creationId xmlns:a16="http://schemas.microsoft.com/office/drawing/2014/main" id="{5E261DF3-D194-45E2-95CB-6F3AD73CCCBE}"/>
            </a:ext>
          </a:extLst>
        </xdr:cNvPr>
        <xdr:cNvPicPr>
          <a:picLocks noChangeAspect="1"/>
        </xdr:cNvPicPr>
      </xdr:nvPicPr>
      <xdr:blipFill>
        <a:blip xmlns:r="http://schemas.openxmlformats.org/officeDocument/2006/relationships" r:embed="rId1"/>
        <a:stretch>
          <a:fillRect/>
        </a:stretch>
      </xdr:blipFill>
      <xdr:spPr>
        <a:xfrm>
          <a:off x="251353" y="119061"/>
          <a:ext cx="4024313" cy="907522"/>
        </a:xfrm>
        <a:prstGeom prst="rect">
          <a:avLst/>
        </a:prstGeom>
      </xdr:spPr>
    </xdr:pic>
    <xdr:clientData/>
  </xdr:twoCellAnchor>
  <xdr:twoCellAnchor>
    <xdr:from>
      <xdr:col>0</xdr:col>
      <xdr:colOff>677312</xdr:colOff>
      <xdr:row>17</xdr:row>
      <xdr:rowOff>158752</xdr:rowOff>
    </xdr:from>
    <xdr:to>
      <xdr:col>3</xdr:col>
      <xdr:colOff>7388</xdr:colOff>
      <xdr:row>25</xdr:row>
      <xdr:rowOff>147288</xdr:rowOff>
    </xdr:to>
    <xdr:sp macro="" textlink="">
      <xdr:nvSpPr>
        <xdr:cNvPr id="127" name="Flecha: pentágono 126">
          <a:extLst>
            <a:ext uri="{FF2B5EF4-FFF2-40B4-BE49-F238E27FC236}">
              <a16:creationId xmlns:a16="http://schemas.microsoft.com/office/drawing/2014/main" id="{757E89F1-5D53-190D-9C22-59FCD6C74E91}"/>
            </a:ext>
          </a:extLst>
        </xdr:cNvPr>
        <xdr:cNvSpPr/>
      </xdr:nvSpPr>
      <xdr:spPr>
        <a:xfrm rot="10800000">
          <a:off x="677312" y="3397252"/>
          <a:ext cx="1711326" cy="1512536"/>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215880</xdr:colOff>
      <xdr:row>17</xdr:row>
      <xdr:rowOff>158751</xdr:rowOff>
    </xdr:from>
    <xdr:to>
      <xdr:col>6</xdr:col>
      <xdr:colOff>118515</xdr:colOff>
      <xdr:row>25</xdr:row>
      <xdr:rowOff>147288</xdr:rowOff>
    </xdr:to>
    <xdr:sp macro="" textlink="">
      <xdr:nvSpPr>
        <xdr:cNvPr id="128" name="Flecha: cheurón 127">
          <a:extLst>
            <a:ext uri="{FF2B5EF4-FFF2-40B4-BE49-F238E27FC236}">
              <a16:creationId xmlns:a16="http://schemas.microsoft.com/office/drawing/2014/main" id="{16AA0F03-DC09-FB6C-3559-04177BE13503}"/>
            </a:ext>
          </a:extLst>
        </xdr:cNvPr>
        <xdr:cNvSpPr/>
      </xdr:nvSpPr>
      <xdr:spPr>
        <a:xfrm rot="10800000">
          <a:off x="3390880" y="3397251"/>
          <a:ext cx="1490135" cy="1512537"/>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10563</xdr:colOff>
      <xdr:row>17</xdr:row>
      <xdr:rowOff>161925</xdr:rowOff>
    </xdr:from>
    <xdr:to>
      <xdr:col>5</xdr:col>
      <xdr:colOff>144971</xdr:colOff>
      <xdr:row>27</xdr:row>
      <xdr:rowOff>176177</xdr:rowOff>
    </xdr:to>
    <xdr:sp macro="" textlink="">
      <xdr:nvSpPr>
        <xdr:cNvPr id="129" name="CuadroTexto 6">
          <a:extLst>
            <a:ext uri="{FF2B5EF4-FFF2-40B4-BE49-F238E27FC236}">
              <a16:creationId xmlns:a16="http://schemas.microsoft.com/office/drawing/2014/main" id="{15D46FD8-1471-7B00-172B-2FB2B5A0C584}"/>
            </a:ext>
          </a:extLst>
        </xdr:cNvPr>
        <xdr:cNvSpPr txBox="1"/>
      </xdr:nvSpPr>
      <xdr:spPr>
        <a:xfrm>
          <a:off x="2419027" y="3169104"/>
          <a:ext cx="1740051" cy="1783180"/>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de Acción Anual</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xdr:col>
      <xdr:colOff>492105</xdr:colOff>
      <xdr:row>19</xdr:row>
      <xdr:rowOff>92061</xdr:rowOff>
    </xdr:from>
    <xdr:to>
      <xdr:col>3</xdr:col>
      <xdr:colOff>7388</xdr:colOff>
      <xdr:row>24</xdr:row>
      <xdr:rowOff>23475</xdr:rowOff>
    </xdr:to>
    <xdr:sp macro="" textlink="">
      <xdr:nvSpPr>
        <xdr:cNvPr id="130" name="CuadroTexto 7">
          <a:extLst>
            <a:ext uri="{FF2B5EF4-FFF2-40B4-BE49-F238E27FC236}">
              <a16:creationId xmlns:a16="http://schemas.microsoft.com/office/drawing/2014/main" id="{3444CBEE-FB0B-4E42-99BD-044930C991B9}"/>
            </a:ext>
          </a:extLst>
        </xdr:cNvPr>
        <xdr:cNvSpPr txBox="1"/>
      </xdr:nvSpPr>
      <xdr:spPr>
        <a:xfrm>
          <a:off x="1285855" y="3711561"/>
          <a:ext cx="1102783"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01</a:t>
          </a:r>
        </a:p>
      </xdr:txBody>
    </xdr:sp>
    <xdr:clientData/>
  </xdr:twoCellAnchor>
  <xdr:twoCellAnchor>
    <xdr:from>
      <xdr:col>5</xdr:col>
      <xdr:colOff>637095</xdr:colOff>
      <xdr:row>17</xdr:row>
      <xdr:rowOff>178187</xdr:rowOff>
    </xdr:from>
    <xdr:to>
      <xdr:col>7</xdr:col>
      <xdr:colOff>771505</xdr:colOff>
      <xdr:row>25</xdr:row>
      <xdr:rowOff>177306</xdr:rowOff>
    </xdr:to>
    <xdr:sp macro="" textlink="">
      <xdr:nvSpPr>
        <xdr:cNvPr id="131" name="Flecha: pentágono 130">
          <a:extLst>
            <a:ext uri="{FF2B5EF4-FFF2-40B4-BE49-F238E27FC236}">
              <a16:creationId xmlns:a16="http://schemas.microsoft.com/office/drawing/2014/main" id="{6909B8ED-2ABD-6E70-0BFC-347FD32A65C7}"/>
            </a:ext>
          </a:extLst>
        </xdr:cNvPr>
        <xdr:cNvSpPr/>
      </xdr:nvSpPr>
      <xdr:spPr>
        <a:xfrm rot="10800000">
          <a:off x="4605845" y="3416687"/>
          <a:ext cx="1721910" cy="1523119"/>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182013</xdr:colOff>
      <xdr:row>17</xdr:row>
      <xdr:rowOff>158751</xdr:rowOff>
    </xdr:from>
    <xdr:to>
      <xdr:col>11</xdr:col>
      <xdr:colOff>78298</xdr:colOff>
      <xdr:row>25</xdr:row>
      <xdr:rowOff>147288</xdr:rowOff>
    </xdr:to>
    <xdr:sp macro="" textlink="">
      <xdr:nvSpPr>
        <xdr:cNvPr id="132" name="Flecha: cheurón 131">
          <a:extLst>
            <a:ext uri="{FF2B5EF4-FFF2-40B4-BE49-F238E27FC236}">
              <a16:creationId xmlns:a16="http://schemas.microsoft.com/office/drawing/2014/main" id="{AA3E8BAB-D5A4-5AAE-1423-C601CCBB737B}"/>
            </a:ext>
          </a:extLst>
        </xdr:cNvPr>
        <xdr:cNvSpPr/>
      </xdr:nvSpPr>
      <xdr:spPr>
        <a:xfrm rot="10800000">
          <a:off x="7325763" y="3397251"/>
          <a:ext cx="1483785" cy="1512537"/>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7</xdr:col>
      <xdr:colOff>774680</xdr:colOff>
      <xdr:row>17</xdr:row>
      <xdr:rowOff>161925</xdr:rowOff>
    </xdr:from>
    <xdr:to>
      <xdr:col>10</xdr:col>
      <xdr:colOff>104755</xdr:colOff>
      <xdr:row>29</xdr:row>
      <xdr:rowOff>104200</xdr:rowOff>
    </xdr:to>
    <xdr:sp macro="" textlink="">
      <xdr:nvSpPr>
        <xdr:cNvPr id="133" name="CuadroTexto 10">
          <a:extLst>
            <a:ext uri="{FF2B5EF4-FFF2-40B4-BE49-F238E27FC236}">
              <a16:creationId xmlns:a16="http://schemas.microsoft.com/office/drawing/2014/main" id="{8B84C037-F68A-0FAF-BEEA-2E8BA531004C}"/>
            </a:ext>
          </a:extLst>
        </xdr:cNvPr>
        <xdr:cNvSpPr txBox="1"/>
      </xdr:nvSpPr>
      <xdr:spPr>
        <a:xfrm>
          <a:off x="6394430" y="3169104"/>
          <a:ext cx="1738539" cy="2064989"/>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PINAR - Plan Institucional de Archivos</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6</xdr:col>
      <xdr:colOff>451888</xdr:colOff>
      <xdr:row>19</xdr:row>
      <xdr:rowOff>92061</xdr:rowOff>
    </xdr:from>
    <xdr:to>
      <xdr:col>7</xdr:col>
      <xdr:colOff>771505</xdr:colOff>
      <xdr:row>24</xdr:row>
      <xdr:rowOff>23475</xdr:rowOff>
    </xdr:to>
    <xdr:sp macro="" textlink="">
      <xdr:nvSpPr>
        <xdr:cNvPr id="134" name="CuadroTexto 11">
          <a:extLst>
            <a:ext uri="{FF2B5EF4-FFF2-40B4-BE49-F238E27FC236}">
              <a16:creationId xmlns:a16="http://schemas.microsoft.com/office/drawing/2014/main" id="{4FB88A33-A0F0-5E70-902B-183EB8083358}"/>
            </a:ext>
          </a:extLst>
        </xdr:cNvPr>
        <xdr:cNvSpPr txBox="1"/>
      </xdr:nvSpPr>
      <xdr:spPr>
        <a:xfrm>
          <a:off x="5214388" y="3711561"/>
          <a:ext cx="111336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02</a:t>
          </a:r>
        </a:p>
      </xdr:txBody>
    </xdr:sp>
    <xdr:clientData/>
  </xdr:twoCellAnchor>
  <xdr:twoCellAnchor>
    <xdr:from>
      <xdr:col>0</xdr:col>
      <xdr:colOff>705887</xdr:colOff>
      <xdr:row>26</xdr:row>
      <xdr:rowOff>177802</xdr:rowOff>
    </xdr:from>
    <xdr:to>
      <xdr:col>3</xdr:col>
      <xdr:colOff>35963</xdr:colOff>
      <xdr:row>34</xdr:row>
      <xdr:rowOff>176921</xdr:rowOff>
    </xdr:to>
    <xdr:sp macro="" textlink="">
      <xdr:nvSpPr>
        <xdr:cNvPr id="135" name="Flecha: pentágono 134">
          <a:extLst>
            <a:ext uri="{FF2B5EF4-FFF2-40B4-BE49-F238E27FC236}">
              <a16:creationId xmlns:a16="http://schemas.microsoft.com/office/drawing/2014/main" id="{6440CA93-14FF-3034-6DBF-537BAB90E659}"/>
            </a:ext>
          </a:extLst>
        </xdr:cNvPr>
        <xdr:cNvSpPr/>
      </xdr:nvSpPr>
      <xdr:spPr>
        <a:xfrm rot="10800000">
          <a:off x="705887" y="5130802"/>
          <a:ext cx="1711326" cy="1523119"/>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250805</xdr:colOff>
      <xdr:row>26</xdr:row>
      <xdr:rowOff>177801</xdr:rowOff>
    </xdr:from>
    <xdr:to>
      <xdr:col>6</xdr:col>
      <xdr:colOff>147090</xdr:colOff>
      <xdr:row>34</xdr:row>
      <xdr:rowOff>176921</xdr:rowOff>
    </xdr:to>
    <xdr:sp macro="" textlink="">
      <xdr:nvSpPr>
        <xdr:cNvPr id="136" name="Flecha: cheurón 135">
          <a:extLst>
            <a:ext uri="{FF2B5EF4-FFF2-40B4-BE49-F238E27FC236}">
              <a16:creationId xmlns:a16="http://schemas.microsoft.com/office/drawing/2014/main" id="{1387C86F-0CBE-FC46-3042-C41EF70DD182}"/>
            </a:ext>
          </a:extLst>
        </xdr:cNvPr>
        <xdr:cNvSpPr/>
      </xdr:nvSpPr>
      <xdr:spPr>
        <a:xfrm rot="10800000">
          <a:off x="3425805" y="5130801"/>
          <a:ext cx="1483785" cy="1523120"/>
        </a:xfrm>
        <a:prstGeom prst="chevron">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35959</xdr:colOff>
      <xdr:row>26</xdr:row>
      <xdr:rowOff>46105</xdr:rowOff>
    </xdr:from>
    <xdr:to>
      <xdr:col>5</xdr:col>
      <xdr:colOff>170367</xdr:colOff>
      <xdr:row>36</xdr:row>
      <xdr:rowOff>60356</xdr:rowOff>
    </xdr:to>
    <xdr:sp macro="" textlink="">
      <xdr:nvSpPr>
        <xdr:cNvPr id="137" name="CuadroTexto 14">
          <a:extLst>
            <a:ext uri="{FF2B5EF4-FFF2-40B4-BE49-F238E27FC236}">
              <a16:creationId xmlns:a16="http://schemas.microsoft.com/office/drawing/2014/main" id="{0A06BB63-2082-4D3D-D635-19D89698A1AD}"/>
            </a:ext>
          </a:extLst>
        </xdr:cNvPr>
        <xdr:cNvSpPr txBox="1"/>
      </xdr:nvSpPr>
      <xdr:spPr>
        <a:xfrm>
          <a:off x="2444423" y="4645319"/>
          <a:ext cx="1740051" cy="1783180"/>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ES" b="1">
              <a:solidFill>
                <a:sysClr val="windowText" lastClr="000000"/>
              </a:solidFill>
            </a:rPr>
            <a:t>Plan de Trabajo Anual en Seguridad y Salud en el Trabajo</a:t>
          </a:r>
          <a:endParaRPr lang="es-CO" b="1">
            <a:solidFill>
              <a:sysClr val="windowText" lastClr="000000"/>
            </a:solidFill>
          </a:endParaRPr>
        </a:p>
      </xdr:txBody>
    </xdr:sp>
    <xdr:clientData/>
  </xdr:twoCellAnchor>
  <xdr:twoCellAnchor>
    <xdr:from>
      <xdr:col>1</xdr:col>
      <xdr:colOff>520680</xdr:colOff>
      <xdr:row>28</xdr:row>
      <xdr:rowOff>111111</xdr:rowOff>
    </xdr:from>
    <xdr:to>
      <xdr:col>3</xdr:col>
      <xdr:colOff>35963</xdr:colOff>
      <xdr:row>33</xdr:row>
      <xdr:rowOff>42525</xdr:rowOff>
    </xdr:to>
    <xdr:sp macro="" textlink="">
      <xdr:nvSpPr>
        <xdr:cNvPr id="138" name="CuadroTexto 15">
          <a:extLst>
            <a:ext uri="{FF2B5EF4-FFF2-40B4-BE49-F238E27FC236}">
              <a16:creationId xmlns:a16="http://schemas.microsoft.com/office/drawing/2014/main" id="{EC892EA7-8AC7-B15F-77CA-C87021E43767}"/>
            </a:ext>
          </a:extLst>
        </xdr:cNvPr>
        <xdr:cNvSpPr txBox="1"/>
      </xdr:nvSpPr>
      <xdr:spPr>
        <a:xfrm>
          <a:off x="1314430" y="5445111"/>
          <a:ext cx="1102783"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04</a:t>
          </a:r>
        </a:p>
      </xdr:txBody>
    </xdr:sp>
    <xdr:clientData/>
  </xdr:twoCellAnchor>
  <xdr:twoCellAnchor>
    <xdr:from>
      <xdr:col>5</xdr:col>
      <xdr:colOff>659320</xdr:colOff>
      <xdr:row>27</xdr:row>
      <xdr:rowOff>6737</xdr:rowOff>
    </xdr:from>
    <xdr:to>
      <xdr:col>8</xdr:col>
      <xdr:colOff>6330</xdr:colOff>
      <xdr:row>35</xdr:row>
      <xdr:rowOff>5856</xdr:rowOff>
    </xdr:to>
    <xdr:sp macro="" textlink="">
      <xdr:nvSpPr>
        <xdr:cNvPr id="139" name="Flecha: pentágono 138">
          <a:extLst>
            <a:ext uri="{FF2B5EF4-FFF2-40B4-BE49-F238E27FC236}">
              <a16:creationId xmlns:a16="http://schemas.microsoft.com/office/drawing/2014/main" id="{8B6D56EE-F0EF-32C1-2BBD-740DE28FD462}"/>
            </a:ext>
          </a:extLst>
        </xdr:cNvPr>
        <xdr:cNvSpPr/>
      </xdr:nvSpPr>
      <xdr:spPr>
        <a:xfrm rot="10800000">
          <a:off x="4628070" y="5150237"/>
          <a:ext cx="1728260" cy="1523119"/>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210588</xdr:colOff>
      <xdr:row>26</xdr:row>
      <xdr:rowOff>177801</xdr:rowOff>
    </xdr:from>
    <xdr:to>
      <xdr:col>11</xdr:col>
      <xdr:colOff>106873</xdr:colOff>
      <xdr:row>34</xdr:row>
      <xdr:rowOff>176921</xdr:rowOff>
    </xdr:to>
    <xdr:sp macro="" textlink="">
      <xdr:nvSpPr>
        <xdr:cNvPr id="140" name="Flecha: cheurón 139">
          <a:extLst>
            <a:ext uri="{FF2B5EF4-FFF2-40B4-BE49-F238E27FC236}">
              <a16:creationId xmlns:a16="http://schemas.microsoft.com/office/drawing/2014/main" id="{313C1BA8-6310-49FB-C0EA-B275CE7FCDCE}"/>
            </a:ext>
          </a:extLst>
        </xdr:cNvPr>
        <xdr:cNvSpPr/>
      </xdr:nvSpPr>
      <xdr:spPr>
        <a:xfrm rot="10800000">
          <a:off x="7354338" y="5130801"/>
          <a:ext cx="1483785" cy="1523120"/>
        </a:xfrm>
        <a:prstGeom prst="chevron">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8</xdr:col>
      <xdr:colOff>9505</xdr:colOff>
      <xdr:row>27</xdr:row>
      <xdr:rowOff>4082</xdr:rowOff>
    </xdr:from>
    <xdr:to>
      <xdr:col>10</xdr:col>
      <xdr:colOff>126980</xdr:colOff>
      <xdr:row>38</xdr:row>
      <xdr:rowOff>123249</xdr:rowOff>
    </xdr:to>
    <xdr:sp macro="" textlink="">
      <xdr:nvSpPr>
        <xdr:cNvPr id="141" name="CuadroTexto 18">
          <a:extLst>
            <a:ext uri="{FF2B5EF4-FFF2-40B4-BE49-F238E27FC236}">
              <a16:creationId xmlns:a16="http://schemas.microsoft.com/office/drawing/2014/main" id="{F5136D51-7BD1-80D6-EC8C-BD7D87AD8440}"/>
            </a:ext>
          </a:extLst>
        </xdr:cNvPr>
        <xdr:cNvSpPr txBox="1"/>
      </xdr:nvSpPr>
      <xdr:spPr>
        <a:xfrm>
          <a:off x="6432076" y="4780189"/>
          <a:ext cx="1723118" cy="2064989"/>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de Incentivos Institucionales</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6</xdr:col>
      <xdr:colOff>480463</xdr:colOff>
      <xdr:row>28</xdr:row>
      <xdr:rowOff>111111</xdr:rowOff>
    </xdr:from>
    <xdr:to>
      <xdr:col>8</xdr:col>
      <xdr:colOff>6330</xdr:colOff>
      <xdr:row>33</xdr:row>
      <xdr:rowOff>42525</xdr:rowOff>
    </xdr:to>
    <xdr:sp macro="" textlink="">
      <xdr:nvSpPr>
        <xdr:cNvPr id="142" name="CuadroTexto 19">
          <a:extLst>
            <a:ext uri="{FF2B5EF4-FFF2-40B4-BE49-F238E27FC236}">
              <a16:creationId xmlns:a16="http://schemas.microsoft.com/office/drawing/2014/main" id="{667C364B-FA4C-907D-0766-47B2571DA288}"/>
            </a:ext>
          </a:extLst>
        </xdr:cNvPr>
        <xdr:cNvSpPr txBox="1"/>
      </xdr:nvSpPr>
      <xdr:spPr>
        <a:xfrm>
          <a:off x="5242963" y="5445111"/>
          <a:ext cx="111336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05</a:t>
          </a:r>
        </a:p>
      </xdr:txBody>
    </xdr:sp>
    <xdr:clientData/>
  </xdr:twoCellAnchor>
  <xdr:twoCellAnchor>
    <xdr:from>
      <xdr:col>0</xdr:col>
      <xdr:colOff>705887</xdr:colOff>
      <xdr:row>35</xdr:row>
      <xdr:rowOff>180977</xdr:rowOff>
    </xdr:from>
    <xdr:to>
      <xdr:col>3</xdr:col>
      <xdr:colOff>35963</xdr:colOff>
      <xdr:row>44</xdr:row>
      <xdr:rowOff>3001</xdr:rowOff>
    </xdr:to>
    <xdr:sp macro="" textlink="">
      <xdr:nvSpPr>
        <xdr:cNvPr id="143" name="Flecha: pentágono 142">
          <a:extLst>
            <a:ext uri="{FF2B5EF4-FFF2-40B4-BE49-F238E27FC236}">
              <a16:creationId xmlns:a16="http://schemas.microsoft.com/office/drawing/2014/main" id="{7CC70FC1-418C-14F3-5173-B9A1F26468AA}"/>
            </a:ext>
          </a:extLst>
        </xdr:cNvPr>
        <xdr:cNvSpPr/>
      </xdr:nvSpPr>
      <xdr:spPr>
        <a:xfrm rot="10800000">
          <a:off x="705887" y="6601533"/>
          <a:ext cx="1721909" cy="1473024"/>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250805</xdr:colOff>
      <xdr:row>35</xdr:row>
      <xdr:rowOff>180976</xdr:rowOff>
    </xdr:from>
    <xdr:to>
      <xdr:col>6</xdr:col>
      <xdr:colOff>147090</xdr:colOff>
      <xdr:row>44</xdr:row>
      <xdr:rowOff>3001</xdr:rowOff>
    </xdr:to>
    <xdr:sp macro="" textlink="">
      <xdr:nvSpPr>
        <xdr:cNvPr id="144" name="Flecha: cheurón 143">
          <a:extLst>
            <a:ext uri="{FF2B5EF4-FFF2-40B4-BE49-F238E27FC236}">
              <a16:creationId xmlns:a16="http://schemas.microsoft.com/office/drawing/2014/main" id="{A38858FC-DB37-BC5E-52A1-7167FDBAA617}"/>
            </a:ext>
          </a:extLst>
        </xdr:cNvPr>
        <xdr:cNvSpPr/>
      </xdr:nvSpPr>
      <xdr:spPr>
        <a:xfrm rot="10800000">
          <a:off x="3439916" y="6601532"/>
          <a:ext cx="1490841" cy="147302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35963</xdr:colOff>
      <xdr:row>36</xdr:row>
      <xdr:rowOff>907</xdr:rowOff>
    </xdr:from>
    <xdr:to>
      <xdr:col>5</xdr:col>
      <xdr:colOff>170371</xdr:colOff>
      <xdr:row>49</xdr:row>
      <xdr:rowOff>75310</xdr:rowOff>
    </xdr:to>
    <xdr:sp macro="" textlink="">
      <xdr:nvSpPr>
        <xdr:cNvPr id="145" name="CuadroTexto 22">
          <a:extLst>
            <a:ext uri="{FF2B5EF4-FFF2-40B4-BE49-F238E27FC236}">
              <a16:creationId xmlns:a16="http://schemas.microsoft.com/office/drawing/2014/main" id="{1E135526-48F2-7E68-32C1-C83C9D6EDD28}"/>
            </a:ext>
          </a:extLst>
        </xdr:cNvPr>
        <xdr:cNvSpPr txBox="1"/>
      </xdr:nvSpPr>
      <xdr:spPr>
        <a:xfrm>
          <a:off x="2444427" y="6369050"/>
          <a:ext cx="1740051" cy="2346796"/>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Anticorrupción y de Atención al Ciudadano</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xdr:col>
      <xdr:colOff>520680</xdr:colOff>
      <xdr:row>37</xdr:row>
      <xdr:rowOff>120636</xdr:rowOff>
    </xdr:from>
    <xdr:to>
      <xdr:col>3</xdr:col>
      <xdr:colOff>35963</xdr:colOff>
      <xdr:row>42</xdr:row>
      <xdr:rowOff>52050</xdr:rowOff>
    </xdr:to>
    <xdr:sp macro="" textlink="">
      <xdr:nvSpPr>
        <xdr:cNvPr id="146" name="CuadroTexto 23">
          <a:extLst>
            <a:ext uri="{FF2B5EF4-FFF2-40B4-BE49-F238E27FC236}">
              <a16:creationId xmlns:a16="http://schemas.microsoft.com/office/drawing/2014/main" id="{2008B7E5-0A07-D6F9-AF89-754FFF298AF3}"/>
            </a:ext>
          </a:extLst>
        </xdr:cNvPr>
        <xdr:cNvSpPr txBox="1"/>
      </xdr:nvSpPr>
      <xdr:spPr>
        <a:xfrm>
          <a:off x="1317958" y="6908080"/>
          <a:ext cx="1109838" cy="84863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07</a:t>
          </a:r>
        </a:p>
      </xdr:txBody>
    </xdr:sp>
    <xdr:clientData/>
  </xdr:twoCellAnchor>
  <xdr:twoCellAnchor>
    <xdr:from>
      <xdr:col>5</xdr:col>
      <xdr:colOff>659320</xdr:colOff>
      <xdr:row>36</xdr:row>
      <xdr:rowOff>16262</xdr:rowOff>
    </xdr:from>
    <xdr:to>
      <xdr:col>8</xdr:col>
      <xdr:colOff>6330</xdr:colOff>
      <xdr:row>44</xdr:row>
      <xdr:rowOff>15381</xdr:rowOff>
    </xdr:to>
    <xdr:sp macro="" textlink="">
      <xdr:nvSpPr>
        <xdr:cNvPr id="147" name="Flecha: pentágono 146">
          <a:extLst>
            <a:ext uri="{FF2B5EF4-FFF2-40B4-BE49-F238E27FC236}">
              <a16:creationId xmlns:a16="http://schemas.microsoft.com/office/drawing/2014/main" id="{01CACCF1-CB0A-DEC3-F337-47DC2E844392}"/>
            </a:ext>
          </a:extLst>
        </xdr:cNvPr>
        <xdr:cNvSpPr/>
      </xdr:nvSpPr>
      <xdr:spPr>
        <a:xfrm rot="10800000">
          <a:off x="4645709" y="6620262"/>
          <a:ext cx="1738843" cy="1466675"/>
        </a:xfrm>
        <a:prstGeom prst="homePlate">
          <a:avLst/>
        </a:prstGeom>
        <a:solidFill>
          <a:schemeClr val="accent4">
            <a:lumMod val="75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8</xdr:col>
      <xdr:colOff>9505</xdr:colOff>
      <xdr:row>36</xdr:row>
      <xdr:rowOff>907</xdr:rowOff>
    </xdr:from>
    <xdr:to>
      <xdr:col>10</xdr:col>
      <xdr:colOff>126980</xdr:colOff>
      <xdr:row>46</xdr:row>
      <xdr:rowOff>15159</xdr:rowOff>
    </xdr:to>
    <xdr:sp macro="" textlink="">
      <xdr:nvSpPr>
        <xdr:cNvPr id="149" name="CuadroTexto 26">
          <a:extLst>
            <a:ext uri="{FF2B5EF4-FFF2-40B4-BE49-F238E27FC236}">
              <a16:creationId xmlns:a16="http://schemas.microsoft.com/office/drawing/2014/main" id="{AF6A8ACE-8480-02B6-7048-67BEB85C101D}"/>
            </a:ext>
          </a:extLst>
        </xdr:cNvPr>
        <xdr:cNvSpPr txBox="1"/>
      </xdr:nvSpPr>
      <xdr:spPr>
        <a:xfrm>
          <a:off x="6432076" y="6369050"/>
          <a:ext cx="1723118" cy="1783180"/>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b="1">
            <a:solidFill>
              <a:sysClr val="windowText" lastClr="000000"/>
            </a:solidFill>
          </a:endParaRPr>
        </a:p>
        <a:p>
          <a:pPr algn="ctr"/>
          <a:r>
            <a:rPr lang="es-CO" b="1">
              <a:solidFill>
                <a:sysClr val="windowText" lastClr="000000"/>
              </a:solidFill>
            </a:rPr>
            <a:t>PETI – Plan Estratégico de Tecnologías de la Información</a:t>
          </a:r>
        </a:p>
        <a:p>
          <a:pPr algn="ctr"/>
          <a:endParaRPr lang="es-CO">
            <a:solidFill>
              <a:sysClr val="windowText" lastClr="000000"/>
            </a:solidFill>
          </a:endParaRPr>
        </a:p>
      </xdr:txBody>
    </xdr:sp>
    <xdr:clientData/>
  </xdr:twoCellAnchor>
  <xdr:twoCellAnchor>
    <xdr:from>
      <xdr:col>6</xdr:col>
      <xdr:colOff>480463</xdr:colOff>
      <xdr:row>37</xdr:row>
      <xdr:rowOff>120636</xdr:rowOff>
    </xdr:from>
    <xdr:to>
      <xdr:col>8</xdr:col>
      <xdr:colOff>6330</xdr:colOff>
      <xdr:row>42</xdr:row>
      <xdr:rowOff>52050</xdr:rowOff>
    </xdr:to>
    <xdr:sp macro="" textlink="">
      <xdr:nvSpPr>
        <xdr:cNvPr id="150" name="CuadroTexto 27">
          <a:extLst>
            <a:ext uri="{FF2B5EF4-FFF2-40B4-BE49-F238E27FC236}">
              <a16:creationId xmlns:a16="http://schemas.microsoft.com/office/drawing/2014/main" id="{D8108DA0-8153-1779-C9BC-5FFA810311B5}"/>
            </a:ext>
          </a:extLst>
        </xdr:cNvPr>
        <xdr:cNvSpPr txBox="1"/>
      </xdr:nvSpPr>
      <xdr:spPr>
        <a:xfrm>
          <a:off x="5264130" y="6908080"/>
          <a:ext cx="1120422" cy="84863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08</a:t>
          </a:r>
        </a:p>
      </xdr:txBody>
    </xdr:sp>
    <xdr:clientData/>
  </xdr:twoCellAnchor>
  <xdr:twoCellAnchor>
    <xdr:from>
      <xdr:col>10</xdr:col>
      <xdr:colOff>568939</xdr:colOff>
      <xdr:row>17</xdr:row>
      <xdr:rowOff>168912</xdr:rowOff>
    </xdr:from>
    <xdr:to>
      <xdr:col>12</xdr:col>
      <xdr:colOff>703348</xdr:colOff>
      <xdr:row>25</xdr:row>
      <xdr:rowOff>168031</xdr:rowOff>
    </xdr:to>
    <xdr:sp macro="" textlink="">
      <xdr:nvSpPr>
        <xdr:cNvPr id="151" name="Flecha: pentágono 150">
          <a:extLst>
            <a:ext uri="{FF2B5EF4-FFF2-40B4-BE49-F238E27FC236}">
              <a16:creationId xmlns:a16="http://schemas.microsoft.com/office/drawing/2014/main" id="{09E07B52-076E-0514-96C2-F2569CB7CA8B}"/>
            </a:ext>
          </a:extLst>
        </xdr:cNvPr>
        <xdr:cNvSpPr/>
      </xdr:nvSpPr>
      <xdr:spPr>
        <a:xfrm rot="10800000">
          <a:off x="8506439" y="3407412"/>
          <a:ext cx="1721909" cy="1523119"/>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703348</xdr:colOff>
      <xdr:row>17</xdr:row>
      <xdr:rowOff>168910</xdr:rowOff>
    </xdr:from>
    <xdr:to>
      <xdr:col>16383</xdr:col>
      <xdr:colOff>28574</xdr:colOff>
      <xdr:row>26</xdr:row>
      <xdr:rowOff>78248</xdr:rowOff>
    </xdr:to>
    <xdr:sp macro="" textlink="">
      <xdr:nvSpPr>
        <xdr:cNvPr id="152" name="CuadroTexto 2">
          <a:extLst>
            <a:ext uri="{FF2B5EF4-FFF2-40B4-BE49-F238E27FC236}">
              <a16:creationId xmlns:a16="http://schemas.microsoft.com/office/drawing/2014/main" id="{020993A8-7A53-C8FF-6321-4BE84C66427D}"/>
            </a:ext>
          </a:extLst>
        </xdr:cNvPr>
        <xdr:cNvSpPr txBox="1"/>
      </xdr:nvSpPr>
      <xdr:spPr>
        <a:xfrm>
          <a:off x="10337205" y="3176089"/>
          <a:ext cx="1733690" cy="1501373"/>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PETH - Plan Estratégico de Talento Humano</a:t>
          </a:r>
        </a:p>
      </xdr:txBody>
    </xdr:sp>
    <xdr:clientData/>
  </xdr:twoCellAnchor>
  <xdr:twoCellAnchor>
    <xdr:from>
      <xdr:col>11</xdr:col>
      <xdr:colOff>383731</xdr:colOff>
      <xdr:row>19</xdr:row>
      <xdr:rowOff>102221</xdr:rowOff>
    </xdr:from>
    <xdr:to>
      <xdr:col>12</xdr:col>
      <xdr:colOff>703348</xdr:colOff>
      <xdr:row>24</xdr:row>
      <xdr:rowOff>33635</xdr:rowOff>
    </xdr:to>
    <xdr:sp macro="" textlink="">
      <xdr:nvSpPr>
        <xdr:cNvPr id="153" name="CuadroTexto 5">
          <a:extLst>
            <a:ext uri="{FF2B5EF4-FFF2-40B4-BE49-F238E27FC236}">
              <a16:creationId xmlns:a16="http://schemas.microsoft.com/office/drawing/2014/main" id="{C4E4DFBA-FEA8-4B68-877F-53686F0DF9D5}"/>
            </a:ext>
          </a:extLst>
        </xdr:cNvPr>
        <xdr:cNvSpPr txBox="1"/>
      </xdr:nvSpPr>
      <xdr:spPr>
        <a:xfrm>
          <a:off x="9114981" y="3721721"/>
          <a:ext cx="111336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03</a:t>
          </a:r>
        </a:p>
      </xdr:txBody>
    </xdr:sp>
    <xdr:clientData/>
  </xdr:twoCellAnchor>
  <xdr:twoCellAnchor>
    <xdr:from>
      <xdr:col>10</xdr:col>
      <xdr:colOff>597514</xdr:colOff>
      <xdr:row>26</xdr:row>
      <xdr:rowOff>187962</xdr:rowOff>
    </xdr:from>
    <xdr:to>
      <xdr:col>12</xdr:col>
      <xdr:colOff>731923</xdr:colOff>
      <xdr:row>34</xdr:row>
      <xdr:rowOff>187081</xdr:rowOff>
    </xdr:to>
    <xdr:sp macro="" textlink="">
      <xdr:nvSpPr>
        <xdr:cNvPr id="154" name="Flecha: pentágono 153">
          <a:extLst>
            <a:ext uri="{FF2B5EF4-FFF2-40B4-BE49-F238E27FC236}">
              <a16:creationId xmlns:a16="http://schemas.microsoft.com/office/drawing/2014/main" id="{9ACA9B69-3E18-05B6-473B-03ADF67DCC51}"/>
            </a:ext>
          </a:extLst>
        </xdr:cNvPr>
        <xdr:cNvSpPr/>
      </xdr:nvSpPr>
      <xdr:spPr>
        <a:xfrm rot="10800000">
          <a:off x="8535014" y="5140962"/>
          <a:ext cx="1721909" cy="1523119"/>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735098</xdr:colOff>
      <xdr:row>27</xdr:row>
      <xdr:rowOff>1542</xdr:rowOff>
    </xdr:from>
    <xdr:to>
      <xdr:col>16383</xdr:col>
      <xdr:colOff>49740</xdr:colOff>
      <xdr:row>38</xdr:row>
      <xdr:rowOff>120709</xdr:rowOff>
    </xdr:to>
    <xdr:sp macro="" textlink="">
      <xdr:nvSpPr>
        <xdr:cNvPr id="155" name="CuadroTexto 29">
          <a:extLst>
            <a:ext uri="{FF2B5EF4-FFF2-40B4-BE49-F238E27FC236}">
              <a16:creationId xmlns:a16="http://schemas.microsoft.com/office/drawing/2014/main" id="{723DD611-6799-5F57-50BA-A4CE4AA29762}"/>
            </a:ext>
          </a:extLst>
        </xdr:cNvPr>
        <xdr:cNvSpPr txBox="1"/>
      </xdr:nvSpPr>
      <xdr:spPr>
        <a:xfrm>
          <a:off x="10368955" y="4777649"/>
          <a:ext cx="1723106" cy="2064989"/>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Institucional de Capacitación</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11</xdr:col>
      <xdr:colOff>405956</xdr:colOff>
      <xdr:row>28</xdr:row>
      <xdr:rowOff>121271</xdr:rowOff>
    </xdr:from>
    <xdr:to>
      <xdr:col>12</xdr:col>
      <xdr:colOff>731923</xdr:colOff>
      <xdr:row>33</xdr:row>
      <xdr:rowOff>52685</xdr:rowOff>
    </xdr:to>
    <xdr:sp macro="" textlink="">
      <xdr:nvSpPr>
        <xdr:cNvPr id="156" name="CuadroTexto 30">
          <a:extLst>
            <a:ext uri="{FF2B5EF4-FFF2-40B4-BE49-F238E27FC236}">
              <a16:creationId xmlns:a16="http://schemas.microsoft.com/office/drawing/2014/main" id="{8616B4CE-9D37-DFD6-2750-02C76F39AEC0}"/>
            </a:ext>
          </a:extLst>
        </xdr:cNvPr>
        <xdr:cNvSpPr txBox="1"/>
      </xdr:nvSpPr>
      <xdr:spPr>
        <a:xfrm>
          <a:off x="9137206" y="5455271"/>
          <a:ext cx="111971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06</a:t>
          </a:r>
        </a:p>
      </xdr:txBody>
    </xdr:sp>
    <xdr:clientData/>
  </xdr:twoCellAnchor>
  <xdr:twoCellAnchor>
    <xdr:from>
      <xdr:col>11</xdr:col>
      <xdr:colOff>405956</xdr:colOff>
      <xdr:row>37</xdr:row>
      <xdr:rowOff>130796</xdr:rowOff>
    </xdr:from>
    <xdr:to>
      <xdr:col>12</xdr:col>
      <xdr:colOff>731923</xdr:colOff>
      <xdr:row>42</xdr:row>
      <xdr:rowOff>55860</xdr:rowOff>
    </xdr:to>
    <xdr:sp macro="" textlink="">
      <xdr:nvSpPr>
        <xdr:cNvPr id="159" name="CuadroTexto 33">
          <a:extLst>
            <a:ext uri="{FF2B5EF4-FFF2-40B4-BE49-F238E27FC236}">
              <a16:creationId xmlns:a16="http://schemas.microsoft.com/office/drawing/2014/main" id="{2B56B5E1-A52E-2843-07EC-B06CD85A5351}"/>
            </a:ext>
          </a:extLst>
        </xdr:cNvPr>
        <xdr:cNvSpPr txBox="1"/>
      </xdr:nvSpPr>
      <xdr:spPr>
        <a:xfrm>
          <a:off x="9137206" y="7179296"/>
          <a:ext cx="1119717" cy="8775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09</a:t>
          </a:r>
        </a:p>
      </xdr:txBody>
    </xdr:sp>
    <xdr:clientData/>
  </xdr:twoCellAnchor>
  <xdr:twoCellAnchor editAs="oneCell">
    <xdr:from>
      <xdr:col>11</xdr:col>
      <xdr:colOff>244928</xdr:colOff>
      <xdr:row>0</xdr:row>
      <xdr:rowOff>0</xdr:rowOff>
    </xdr:from>
    <xdr:to>
      <xdr:col>16383</xdr:col>
      <xdr:colOff>568326</xdr:colOff>
      <xdr:row>11</xdr:row>
      <xdr:rowOff>125640</xdr:rowOff>
    </xdr:to>
    <xdr:pic>
      <xdr:nvPicPr>
        <xdr:cNvPr id="3" name="Imagen 2">
          <a:extLst>
            <a:ext uri="{FF2B5EF4-FFF2-40B4-BE49-F238E27FC236}">
              <a16:creationId xmlns:a16="http://schemas.microsoft.com/office/drawing/2014/main" id="{D5B3A3EB-BDAF-46C7-AF26-30425A961F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75964" y="0"/>
          <a:ext cx="3534683" cy="2071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25401</xdr:colOff>
      <xdr:row>55</xdr:row>
      <xdr:rowOff>31750</xdr:rowOff>
    </xdr:from>
    <xdr:to>
      <xdr:col>3</xdr:col>
      <xdr:colOff>11794</xdr:colOff>
      <xdr:row>55</xdr:row>
      <xdr:rowOff>920795</xdr:rowOff>
    </xdr:to>
    <xdr:pic>
      <xdr:nvPicPr>
        <xdr:cNvPr id="3" name="Imagen 2">
          <a:extLst>
            <a:ext uri="{FF2B5EF4-FFF2-40B4-BE49-F238E27FC236}">
              <a16:creationId xmlns:a16="http://schemas.microsoft.com/office/drawing/2014/main" id="{BE5E693C-84DA-275F-9D13-1C4DB0001CDE}"/>
            </a:ext>
          </a:extLst>
        </xdr:cNvPr>
        <xdr:cNvPicPr>
          <a:picLocks noChangeAspect="1"/>
        </xdr:cNvPicPr>
      </xdr:nvPicPr>
      <xdr:blipFill>
        <a:blip xmlns:r="http://schemas.openxmlformats.org/officeDocument/2006/relationships" r:embed="rId1"/>
        <a:stretch>
          <a:fillRect/>
        </a:stretch>
      </xdr:blipFill>
      <xdr:spPr>
        <a:xfrm>
          <a:off x="2927351" y="27622500"/>
          <a:ext cx="5880100" cy="882695"/>
        </a:xfrm>
        <a:prstGeom prst="rect">
          <a:avLst/>
        </a:prstGeom>
      </xdr:spPr>
    </xdr:pic>
    <xdr:clientData/>
  </xdr:twoCellAnchor>
  <xdr:twoCellAnchor editAs="oneCell">
    <xdr:from>
      <xdr:col>0</xdr:col>
      <xdr:colOff>0</xdr:colOff>
      <xdr:row>0</xdr:row>
      <xdr:rowOff>0</xdr:rowOff>
    </xdr:from>
    <xdr:to>
      <xdr:col>0</xdr:col>
      <xdr:colOff>1932214</xdr:colOff>
      <xdr:row>2</xdr:row>
      <xdr:rowOff>0</xdr:rowOff>
    </xdr:to>
    <xdr:pic>
      <xdr:nvPicPr>
        <xdr:cNvPr id="5" name="Imagen 4">
          <a:extLst>
            <a:ext uri="{FF2B5EF4-FFF2-40B4-BE49-F238E27FC236}">
              <a16:creationId xmlns:a16="http://schemas.microsoft.com/office/drawing/2014/main" id="{56D15D92-8C73-41B8-BD48-12A9C32445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5389" cy="1654309"/>
        </a:xfrm>
        <a:prstGeom prst="rect">
          <a:avLst/>
        </a:prstGeom>
      </xdr:spPr>
    </xdr:pic>
    <xdr:clientData/>
  </xdr:twoCellAnchor>
  <xdr:twoCellAnchor editAs="oneCell">
    <xdr:from>
      <xdr:col>1</xdr:col>
      <xdr:colOff>0</xdr:colOff>
      <xdr:row>0</xdr:row>
      <xdr:rowOff>0</xdr:rowOff>
    </xdr:from>
    <xdr:to>
      <xdr:col>1</xdr:col>
      <xdr:colOff>2468788</xdr:colOff>
      <xdr:row>1</xdr:row>
      <xdr:rowOff>277504</xdr:rowOff>
    </xdr:to>
    <xdr:pic>
      <xdr:nvPicPr>
        <xdr:cNvPr id="6" name="Imagen 5">
          <a:extLst>
            <a:ext uri="{FF2B5EF4-FFF2-40B4-BE49-F238E27FC236}">
              <a16:creationId xmlns:a16="http://schemas.microsoft.com/office/drawing/2014/main" id="{FA5D6214-8830-4DC8-8C03-5F8FC6DA9A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5613" cy="1603596"/>
        </a:xfrm>
        <a:prstGeom prst="rect">
          <a:avLst/>
        </a:prstGeom>
      </xdr:spPr>
    </xdr:pic>
    <xdr:clientData/>
  </xdr:twoCellAnchor>
  <xdr:twoCellAnchor editAs="oneCell">
    <xdr:from>
      <xdr:col>63</xdr:col>
      <xdr:colOff>370417</xdr:colOff>
      <xdr:row>0</xdr:row>
      <xdr:rowOff>0</xdr:rowOff>
    </xdr:from>
    <xdr:to>
      <xdr:col>64</xdr:col>
      <xdr:colOff>145825</xdr:colOff>
      <xdr:row>1</xdr:row>
      <xdr:rowOff>302012</xdr:rowOff>
    </xdr:to>
    <xdr:pic>
      <xdr:nvPicPr>
        <xdr:cNvPr id="14" name="Imagen 13">
          <a:extLst>
            <a:ext uri="{FF2B5EF4-FFF2-40B4-BE49-F238E27FC236}">
              <a16:creationId xmlns:a16="http://schemas.microsoft.com/office/drawing/2014/main" id="{54911533-A3BF-479F-AB9E-49D9F62BCDD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944334" y="0"/>
          <a:ext cx="1487260" cy="1624929"/>
        </a:xfrm>
        <a:prstGeom prst="rect">
          <a:avLst/>
        </a:prstGeom>
      </xdr:spPr>
    </xdr:pic>
    <xdr:clientData/>
  </xdr:twoCellAnchor>
  <xdr:twoCellAnchor editAs="oneCell">
    <xdr:from>
      <xdr:col>63</xdr:col>
      <xdr:colOff>370417</xdr:colOff>
      <xdr:row>0</xdr:row>
      <xdr:rowOff>0</xdr:rowOff>
    </xdr:from>
    <xdr:to>
      <xdr:col>64</xdr:col>
      <xdr:colOff>145825</xdr:colOff>
      <xdr:row>1</xdr:row>
      <xdr:rowOff>302012</xdr:rowOff>
    </xdr:to>
    <xdr:pic>
      <xdr:nvPicPr>
        <xdr:cNvPr id="15" name="Imagen 14">
          <a:extLst>
            <a:ext uri="{FF2B5EF4-FFF2-40B4-BE49-F238E27FC236}">
              <a16:creationId xmlns:a16="http://schemas.microsoft.com/office/drawing/2014/main" id="{6A4F1F4E-E645-4393-8538-F34DB367E8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944334" y="0"/>
          <a:ext cx="1484085" cy="1624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22</xdr:row>
      <xdr:rowOff>38100</xdr:rowOff>
    </xdr:from>
    <xdr:to>
      <xdr:col>3</xdr:col>
      <xdr:colOff>5443</xdr:colOff>
      <xdr:row>22</xdr:row>
      <xdr:rowOff>920795</xdr:rowOff>
    </xdr:to>
    <xdr:pic>
      <xdr:nvPicPr>
        <xdr:cNvPr id="8" name="Imagen 7">
          <a:extLst>
            <a:ext uri="{FF2B5EF4-FFF2-40B4-BE49-F238E27FC236}">
              <a16:creationId xmlns:a16="http://schemas.microsoft.com/office/drawing/2014/main" id="{505A5394-4A4B-44EF-93FD-43D1C149C8D2}"/>
            </a:ext>
          </a:extLst>
        </xdr:cNvPr>
        <xdr:cNvPicPr>
          <a:picLocks noChangeAspect="1"/>
        </xdr:cNvPicPr>
      </xdr:nvPicPr>
      <xdr:blipFill>
        <a:blip xmlns:r="http://schemas.openxmlformats.org/officeDocument/2006/relationships" r:embed="rId1"/>
        <a:stretch>
          <a:fillRect/>
        </a:stretch>
      </xdr:blipFill>
      <xdr:spPr>
        <a:xfrm>
          <a:off x="2819400" y="109855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0CF7E560-51D8-40F0-B6D0-C36E71163B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CFD5724F-FAE7-4AF4-8A8A-96B95BA643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345281</xdr:colOff>
      <xdr:row>0</xdr:row>
      <xdr:rowOff>0</xdr:rowOff>
    </xdr:from>
    <xdr:to>
      <xdr:col>64</xdr:col>
      <xdr:colOff>75973</xdr:colOff>
      <xdr:row>1</xdr:row>
      <xdr:rowOff>303335</xdr:rowOff>
    </xdr:to>
    <xdr:pic>
      <xdr:nvPicPr>
        <xdr:cNvPr id="10" name="Imagen 9">
          <a:extLst>
            <a:ext uri="{FF2B5EF4-FFF2-40B4-BE49-F238E27FC236}">
              <a16:creationId xmlns:a16="http://schemas.microsoft.com/office/drawing/2014/main" id="{E946040C-C5DD-4F96-9D16-4E0797CE00C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82219" y="0"/>
          <a:ext cx="1484085" cy="1624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21</xdr:row>
      <xdr:rowOff>25400</xdr:rowOff>
    </xdr:from>
    <xdr:to>
      <xdr:col>3</xdr:col>
      <xdr:colOff>2268</xdr:colOff>
      <xdr:row>21</xdr:row>
      <xdr:rowOff>901745</xdr:rowOff>
    </xdr:to>
    <xdr:pic>
      <xdr:nvPicPr>
        <xdr:cNvPr id="8" name="Imagen 7">
          <a:extLst>
            <a:ext uri="{FF2B5EF4-FFF2-40B4-BE49-F238E27FC236}">
              <a16:creationId xmlns:a16="http://schemas.microsoft.com/office/drawing/2014/main" id="{8E9D32CF-1B0D-413D-8B65-CE5B581E0960}"/>
            </a:ext>
          </a:extLst>
        </xdr:cNvPr>
        <xdr:cNvPicPr>
          <a:picLocks noChangeAspect="1"/>
        </xdr:cNvPicPr>
      </xdr:nvPicPr>
      <xdr:blipFill>
        <a:blip xmlns:r="http://schemas.openxmlformats.org/officeDocument/2006/relationships" r:embed="rId1"/>
        <a:stretch>
          <a:fillRect/>
        </a:stretch>
      </xdr:blipFill>
      <xdr:spPr>
        <a:xfrm>
          <a:off x="2825750" y="65532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5CCDC754-8BF3-48E0-AD73-087F6E3D6B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A2CA3906-76DF-4B48-8DE7-2815980724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333375</xdr:colOff>
      <xdr:row>0</xdr:row>
      <xdr:rowOff>0</xdr:rowOff>
    </xdr:from>
    <xdr:to>
      <xdr:col>64</xdr:col>
      <xdr:colOff>63159</xdr:colOff>
      <xdr:row>1</xdr:row>
      <xdr:rowOff>303335</xdr:rowOff>
    </xdr:to>
    <xdr:pic>
      <xdr:nvPicPr>
        <xdr:cNvPr id="10" name="Imagen 9">
          <a:extLst>
            <a:ext uri="{FF2B5EF4-FFF2-40B4-BE49-F238E27FC236}">
              <a16:creationId xmlns:a16="http://schemas.microsoft.com/office/drawing/2014/main" id="{04F4A88A-BF13-40AF-97B1-05C0A2FC8CF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70313" y="0"/>
          <a:ext cx="1487260" cy="16249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18</xdr:row>
      <xdr:rowOff>12700</xdr:rowOff>
    </xdr:from>
    <xdr:to>
      <xdr:col>2</xdr:col>
      <xdr:colOff>2971800</xdr:colOff>
      <xdr:row>18</xdr:row>
      <xdr:rowOff>895395</xdr:rowOff>
    </xdr:to>
    <xdr:pic>
      <xdr:nvPicPr>
        <xdr:cNvPr id="8" name="Imagen 7">
          <a:extLst>
            <a:ext uri="{FF2B5EF4-FFF2-40B4-BE49-F238E27FC236}">
              <a16:creationId xmlns:a16="http://schemas.microsoft.com/office/drawing/2014/main" id="{25A5757A-6B61-4451-89C2-97196B0B2AC1}"/>
            </a:ext>
          </a:extLst>
        </xdr:cNvPr>
        <xdr:cNvPicPr>
          <a:picLocks noChangeAspect="1"/>
        </xdr:cNvPicPr>
      </xdr:nvPicPr>
      <xdr:blipFill>
        <a:blip xmlns:r="http://schemas.openxmlformats.org/officeDocument/2006/relationships" r:embed="rId1"/>
        <a:stretch>
          <a:fillRect/>
        </a:stretch>
      </xdr:blipFill>
      <xdr:spPr>
        <a:xfrm>
          <a:off x="2832100" y="48831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5</xdr:row>
      <xdr:rowOff>12101</xdr:rowOff>
    </xdr:to>
    <xdr:pic>
      <xdr:nvPicPr>
        <xdr:cNvPr id="7" name="Imagen 6">
          <a:extLst>
            <a:ext uri="{FF2B5EF4-FFF2-40B4-BE49-F238E27FC236}">
              <a16:creationId xmlns:a16="http://schemas.microsoft.com/office/drawing/2014/main" id="{979D5BE7-BFAB-48B0-B43C-0DE15553C7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101763</xdr:colOff>
      <xdr:row>0</xdr:row>
      <xdr:rowOff>0</xdr:rowOff>
    </xdr:from>
    <xdr:to>
      <xdr:col>1</xdr:col>
      <xdr:colOff>2573726</xdr:colOff>
      <xdr:row>1</xdr:row>
      <xdr:rowOff>278400</xdr:rowOff>
    </xdr:to>
    <xdr:pic>
      <xdr:nvPicPr>
        <xdr:cNvPr id="9" name="Imagen 8">
          <a:extLst>
            <a:ext uri="{FF2B5EF4-FFF2-40B4-BE49-F238E27FC236}">
              <a16:creationId xmlns:a16="http://schemas.microsoft.com/office/drawing/2014/main" id="{1FF58E82-AFB1-46F6-919C-8BE109109F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341923</xdr:colOff>
      <xdr:row>0</xdr:row>
      <xdr:rowOff>0</xdr:rowOff>
    </xdr:from>
    <xdr:to>
      <xdr:col>64</xdr:col>
      <xdr:colOff>30911</xdr:colOff>
      <xdr:row>1</xdr:row>
      <xdr:rowOff>302908</xdr:rowOff>
    </xdr:to>
    <xdr:pic>
      <xdr:nvPicPr>
        <xdr:cNvPr id="10" name="Imagen 9">
          <a:extLst>
            <a:ext uri="{FF2B5EF4-FFF2-40B4-BE49-F238E27FC236}">
              <a16:creationId xmlns:a16="http://schemas.microsoft.com/office/drawing/2014/main" id="{8C1EC7DF-3F9E-40C0-91D9-3468F377D5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275673" y="0"/>
          <a:ext cx="1487260" cy="1621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19</xdr:row>
      <xdr:rowOff>25400</xdr:rowOff>
    </xdr:from>
    <xdr:to>
      <xdr:col>3</xdr:col>
      <xdr:colOff>2268</xdr:colOff>
      <xdr:row>19</xdr:row>
      <xdr:rowOff>904920</xdr:rowOff>
    </xdr:to>
    <xdr:pic>
      <xdr:nvPicPr>
        <xdr:cNvPr id="8" name="Imagen 7">
          <a:extLst>
            <a:ext uri="{FF2B5EF4-FFF2-40B4-BE49-F238E27FC236}">
              <a16:creationId xmlns:a16="http://schemas.microsoft.com/office/drawing/2014/main" id="{FED46BDD-0C05-4E7B-999D-F79F5960DDF5}"/>
            </a:ext>
          </a:extLst>
        </xdr:cNvPr>
        <xdr:cNvPicPr>
          <a:picLocks noChangeAspect="1"/>
        </xdr:cNvPicPr>
      </xdr:nvPicPr>
      <xdr:blipFill>
        <a:blip xmlns:r="http://schemas.openxmlformats.org/officeDocument/2006/relationships" r:embed="rId1"/>
        <a:stretch>
          <a:fillRect/>
        </a:stretch>
      </xdr:blipFill>
      <xdr:spPr>
        <a:xfrm>
          <a:off x="2832100" y="56324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513F1A81-D118-4E8A-8DC2-9E1E83621E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4AC5B072-E9AC-4410-8D48-6AD7980B93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345282</xdr:colOff>
      <xdr:row>0</xdr:row>
      <xdr:rowOff>0</xdr:rowOff>
    </xdr:from>
    <xdr:to>
      <xdr:col>64</xdr:col>
      <xdr:colOff>68716</xdr:colOff>
      <xdr:row>1</xdr:row>
      <xdr:rowOff>303335</xdr:rowOff>
    </xdr:to>
    <xdr:pic>
      <xdr:nvPicPr>
        <xdr:cNvPr id="10" name="Imagen 9">
          <a:extLst>
            <a:ext uri="{FF2B5EF4-FFF2-40B4-BE49-F238E27FC236}">
              <a16:creationId xmlns:a16="http://schemas.microsoft.com/office/drawing/2014/main" id="{6906B13F-CE22-4395-ACE8-D985EDA702F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82220" y="0"/>
          <a:ext cx="1487260" cy="16249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31750</xdr:colOff>
      <xdr:row>19</xdr:row>
      <xdr:rowOff>19050</xdr:rowOff>
    </xdr:from>
    <xdr:to>
      <xdr:col>3</xdr:col>
      <xdr:colOff>8618</xdr:colOff>
      <xdr:row>19</xdr:row>
      <xdr:rowOff>904920</xdr:rowOff>
    </xdr:to>
    <xdr:pic>
      <xdr:nvPicPr>
        <xdr:cNvPr id="8" name="Imagen 7">
          <a:extLst>
            <a:ext uri="{FF2B5EF4-FFF2-40B4-BE49-F238E27FC236}">
              <a16:creationId xmlns:a16="http://schemas.microsoft.com/office/drawing/2014/main" id="{9F7DC420-6BA0-4849-BAEE-A63314AFEF94}"/>
            </a:ext>
          </a:extLst>
        </xdr:cNvPr>
        <xdr:cNvPicPr>
          <a:picLocks noChangeAspect="1"/>
        </xdr:cNvPicPr>
      </xdr:nvPicPr>
      <xdr:blipFill>
        <a:blip xmlns:r="http://schemas.openxmlformats.org/officeDocument/2006/relationships" r:embed="rId1"/>
        <a:stretch>
          <a:fillRect/>
        </a:stretch>
      </xdr:blipFill>
      <xdr:spPr>
        <a:xfrm>
          <a:off x="2838450" y="63627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7C2F20E4-ED9C-472C-84A2-9396BDB23E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AB68CDB3-A1C2-421C-AF83-BFC33FCBE9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333375</xdr:colOff>
      <xdr:row>0</xdr:row>
      <xdr:rowOff>0</xdr:rowOff>
    </xdr:from>
    <xdr:to>
      <xdr:col>64</xdr:col>
      <xdr:colOff>25966</xdr:colOff>
      <xdr:row>1</xdr:row>
      <xdr:rowOff>303335</xdr:rowOff>
    </xdr:to>
    <xdr:pic>
      <xdr:nvPicPr>
        <xdr:cNvPr id="10" name="Imagen 9">
          <a:extLst>
            <a:ext uri="{FF2B5EF4-FFF2-40B4-BE49-F238E27FC236}">
              <a16:creationId xmlns:a16="http://schemas.microsoft.com/office/drawing/2014/main" id="{E6B3AF82-8A30-4AF4-874D-DCBEB61C06C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70313" y="0"/>
          <a:ext cx="1487260" cy="16249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25400</xdr:colOff>
      <xdr:row>54</xdr:row>
      <xdr:rowOff>12700</xdr:rowOff>
    </xdr:from>
    <xdr:to>
      <xdr:col>3</xdr:col>
      <xdr:colOff>8618</xdr:colOff>
      <xdr:row>54</xdr:row>
      <xdr:rowOff>895395</xdr:rowOff>
    </xdr:to>
    <xdr:pic>
      <xdr:nvPicPr>
        <xdr:cNvPr id="8" name="Imagen 7">
          <a:extLst>
            <a:ext uri="{FF2B5EF4-FFF2-40B4-BE49-F238E27FC236}">
              <a16:creationId xmlns:a16="http://schemas.microsoft.com/office/drawing/2014/main" id="{17E90589-4C86-4EEF-B23E-1916D8C6B3DB}"/>
            </a:ext>
          </a:extLst>
        </xdr:cNvPr>
        <xdr:cNvPicPr>
          <a:picLocks noChangeAspect="1"/>
        </xdr:cNvPicPr>
      </xdr:nvPicPr>
      <xdr:blipFill>
        <a:blip xmlns:r="http://schemas.openxmlformats.org/officeDocument/2006/relationships" r:embed="rId1"/>
        <a:stretch>
          <a:fillRect/>
        </a:stretch>
      </xdr:blipFill>
      <xdr:spPr>
        <a:xfrm>
          <a:off x="2832100" y="405003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E26A9C1E-9770-4350-A1CF-770CDCB2C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9121ED1C-85DA-46B8-A17D-10C18DB64B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357187</xdr:colOff>
      <xdr:row>0</xdr:row>
      <xdr:rowOff>0</xdr:rowOff>
    </xdr:from>
    <xdr:to>
      <xdr:col>64</xdr:col>
      <xdr:colOff>131423</xdr:colOff>
      <xdr:row>1</xdr:row>
      <xdr:rowOff>303335</xdr:rowOff>
    </xdr:to>
    <xdr:pic>
      <xdr:nvPicPr>
        <xdr:cNvPr id="10" name="Imagen 9">
          <a:extLst>
            <a:ext uri="{FF2B5EF4-FFF2-40B4-BE49-F238E27FC236}">
              <a16:creationId xmlns:a16="http://schemas.microsoft.com/office/drawing/2014/main" id="{5562FD80-BBA9-41F6-9334-05AD17B3C5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94125" y="0"/>
          <a:ext cx="1487260" cy="16249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25400</xdr:colOff>
      <xdr:row>27</xdr:row>
      <xdr:rowOff>31750</xdr:rowOff>
    </xdr:from>
    <xdr:to>
      <xdr:col>3</xdr:col>
      <xdr:colOff>0</xdr:colOff>
      <xdr:row>27</xdr:row>
      <xdr:rowOff>914445</xdr:rowOff>
    </xdr:to>
    <xdr:pic>
      <xdr:nvPicPr>
        <xdr:cNvPr id="8" name="Imagen 7">
          <a:extLst>
            <a:ext uri="{FF2B5EF4-FFF2-40B4-BE49-F238E27FC236}">
              <a16:creationId xmlns:a16="http://schemas.microsoft.com/office/drawing/2014/main" id="{6C854847-FFFA-4B23-A03B-D31B7301CDB8}"/>
            </a:ext>
          </a:extLst>
        </xdr:cNvPr>
        <xdr:cNvPicPr>
          <a:picLocks noChangeAspect="1"/>
        </xdr:cNvPicPr>
      </xdr:nvPicPr>
      <xdr:blipFill>
        <a:blip xmlns:r="http://schemas.openxmlformats.org/officeDocument/2006/relationships" r:embed="rId1"/>
        <a:stretch>
          <a:fillRect/>
        </a:stretch>
      </xdr:blipFill>
      <xdr:spPr>
        <a:xfrm>
          <a:off x="2832100" y="311467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FF15FE06-3B89-41E3-8A83-870EFEBE5A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14F34647-CC89-45F6-97F9-FD58553154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345281</xdr:colOff>
      <xdr:row>0</xdr:row>
      <xdr:rowOff>0</xdr:rowOff>
    </xdr:from>
    <xdr:to>
      <xdr:col>64</xdr:col>
      <xdr:colOff>31522</xdr:colOff>
      <xdr:row>1</xdr:row>
      <xdr:rowOff>303335</xdr:rowOff>
    </xdr:to>
    <xdr:pic>
      <xdr:nvPicPr>
        <xdr:cNvPr id="10" name="Imagen 9">
          <a:extLst>
            <a:ext uri="{FF2B5EF4-FFF2-40B4-BE49-F238E27FC236}">
              <a16:creationId xmlns:a16="http://schemas.microsoft.com/office/drawing/2014/main" id="{F4F3B218-7A02-4325-92DB-A15DCA993E9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203625" y="0"/>
          <a:ext cx="1487260" cy="16249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59</xdr:col>
      <xdr:colOff>312965</xdr:colOff>
      <xdr:row>0</xdr:row>
      <xdr:rowOff>27214</xdr:rowOff>
    </xdr:from>
    <xdr:to>
      <xdr:col>60</xdr:col>
      <xdr:colOff>0</xdr:colOff>
      <xdr:row>2</xdr:row>
      <xdr:rowOff>7493</xdr:rowOff>
    </xdr:to>
    <xdr:pic>
      <xdr:nvPicPr>
        <xdr:cNvPr id="2" name="Imagen 1">
          <a:extLst>
            <a:ext uri="{FF2B5EF4-FFF2-40B4-BE49-F238E27FC236}">
              <a16:creationId xmlns:a16="http://schemas.microsoft.com/office/drawing/2014/main" id="{4899BBFD-C473-41C6-9B30-B90EFB927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0965" y="27214"/>
          <a:ext cx="1490435" cy="1631279"/>
        </a:xfrm>
        <a:prstGeom prst="rect">
          <a:avLst/>
        </a:prstGeom>
      </xdr:spPr>
    </xdr:pic>
    <xdr:clientData/>
  </xdr:twoCellAnchor>
  <xdr:twoCellAnchor editAs="oneCell">
    <xdr:from>
      <xdr:col>2</xdr:col>
      <xdr:colOff>653144</xdr:colOff>
      <xdr:row>0</xdr:row>
      <xdr:rowOff>0</xdr:rowOff>
    </xdr:from>
    <xdr:to>
      <xdr:col>3</xdr:col>
      <xdr:colOff>0</xdr:colOff>
      <xdr:row>1</xdr:row>
      <xdr:rowOff>282796</xdr:rowOff>
    </xdr:to>
    <xdr:pic>
      <xdr:nvPicPr>
        <xdr:cNvPr id="3" name="Imagen 2">
          <a:extLst>
            <a:ext uri="{FF2B5EF4-FFF2-40B4-BE49-F238E27FC236}">
              <a16:creationId xmlns:a16="http://schemas.microsoft.com/office/drawing/2014/main" id="{95C86C83-E8F1-4D9E-B6DB-D4E21FD91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66544" y="0"/>
          <a:ext cx="2458356" cy="1603596"/>
        </a:xfrm>
        <a:prstGeom prst="rect">
          <a:avLst/>
        </a:prstGeom>
      </xdr:spPr>
    </xdr:pic>
    <xdr:clientData/>
  </xdr:twoCellAnchor>
  <xdr:twoCellAnchor editAs="oneCell">
    <xdr:from>
      <xdr:col>0</xdr:col>
      <xdr:colOff>1</xdr:colOff>
      <xdr:row>0</xdr:row>
      <xdr:rowOff>0</xdr:rowOff>
    </xdr:from>
    <xdr:to>
      <xdr:col>0</xdr:col>
      <xdr:colOff>1932215</xdr:colOff>
      <xdr:row>2</xdr:row>
      <xdr:rowOff>134</xdr:rowOff>
    </xdr:to>
    <xdr:pic>
      <xdr:nvPicPr>
        <xdr:cNvPr id="4" name="Imagen 3">
          <a:extLst>
            <a:ext uri="{FF2B5EF4-FFF2-40B4-BE49-F238E27FC236}">
              <a16:creationId xmlns:a16="http://schemas.microsoft.com/office/drawing/2014/main" id="{42DEBEC8-8B6C-437A-83DB-4D9CD9CF2D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1932214" cy="1651134"/>
        </a:xfrm>
        <a:prstGeom prst="rect">
          <a:avLst/>
        </a:prstGeom>
      </xdr:spPr>
    </xdr:pic>
    <xdr:clientData/>
  </xdr:twoCellAnchor>
  <xdr:twoCellAnchor>
    <xdr:from>
      <xdr:col>3</xdr:col>
      <xdr:colOff>925359</xdr:colOff>
      <xdr:row>0</xdr:row>
      <xdr:rowOff>244926</xdr:rowOff>
    </xdr:from>
    <xdr:to>
      <xdr:col>8</xdr:col>
      <xdr:colOff>707571</xdr:colOff>
      <xdr:row>0</xdr:row>
      <xdr:rowOff>898071</xdr:rowOff>
    </xdr:to>
    <xdr:sp macro="" textlink="">
      <xdr:nvSpPr>
        <xdr:cNvPr id="5" name="TextBox 11">
          <a:extLst>
            <a:ext uri="{FF2B5EF4-FFF2-40B4-BE49-F238E27FC236}">
              <a16:creationId xmlns:a16="http://schemas.microsoft.com/office/drawing/2014/main" id="{75B36CDE-BB2E-46B8-9F85-56F114907828}"/>
            </a:ext>
          </a:extLst>
        </xdr:cNvPr>
        <xdr:cNvSpPr txBox="1"/>
      </xdr:nvSpPr>
      <xdr:spPr>
        <a:xfrm>
          <a:off x="8724900" y="244926"/>
          <a:ext cx="0" cy="653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0">
              <a:solidFill>
                <a:schemeClr val="tx1">
                  <a:lumMod val="65000"/>
                  <a:lumOff val="35000"/>
                </a:schemeClr>
              </a:solidFill>
              <a:latin typeface="Calibri" panose="020F0502020204030204" pitchFamily="34" charset="0"/>
              <a:cs typeface="Calibri" panose="020F0502020204030204" pitchFamily="34" charset="0"/>
            </a:rPr>
            <a:t>Plan Estratégico Sectorial 2023</a:t>
          </a:r>
        </a:p>
      </xdr:txBody>
    </xdr:sp>
    <xdr:clientData/>
  </xdr:twoCellAnchor>
  <xdr:twoCellAnchor editAs="oneCell">
    <xdr:from>
      <xdr:col>1</xdr:col>
      <xdr:colOff>47625</xdr:colOff>
      <xdr:row>27</xdr:row>
      <xdr:rowOff>47625</xdr:rowOff>
    </xdr:from>
    <xdr:to>
      <xdr:col>2</xdr:col>
      <xdr:colOff>3058582</xdr:colOff>
      <xdr:row>27</xdr:row>
      <xdr:rowOff>923970</xdr:rowOff>
    </xdr:to>
    <xdr:pic>
      <xdr:nvPicPr>
        <xdr:cNvPr id="6" name="Imagen 5">
          <a:extLst>
            <a:ext uri="{FF2B5EF4-FFF2-40B4-BE49-F238E27FC236}">
              <a16:creationId xmlns:a16="http://schemas.microsoft.com/office/drawing/2014/main" id="{94B92FA7-C841-48D8-8DF0-163C5698E995}"/>
            </a:ext>
          </a:extLst>
        </xdr:cNvPr>
        <xdr:cNvPicPr>
          <a:picLocks noChangeAspect="1"/>
        </xdr:cNvPicPr>
      </xdr:nvPicPr>
      <xdr:blipFill>
        <a:blip xmlns:r="http://schemas.openxmlformats.org/officeDocument/2006/relationships" r:embed="rId4"/>
        <a:stretch>
          <a:fillRect/>
        </a:stretch>
      </xdr:blipFill>
      <xdr:spPr>
        <a:xfrm>
          <a:off x="2854325" y="17243425"/>
          <a:ext cx="5817657" cy="8763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59</xdr:col>
      <xdr:colOff>312965</xdr:colOff>
      <xdr:row>0</xdr:row>
      <xdr:rowOff>27214</xdr:rowOff>
    </xdr:from>
    <xdr:to>
      <xdr:col>60</xdr:col>
      <xdr:colOff>0</xdr:colOff>
      <xdr:row>2</xdr:row>
      <xdr:rowOff>17018</xdr:rowOff>
    </xdr:to>
    <xdr:pic>
      <xdr:nvPicPr>
        <xdr:cNvPr id="2" name="Imagen 1">
          <a:extLst>
            <a:ext uri="{FF2B5EF4-FFF2-40B4-BE49-F238E27FC236}">
              <a16:creationId xmlns:a16="http://schemas.microsoft.com/office/drawing/2014/main" id="{93E49E99-18F5-4230-BB96-2CE3FEC776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08715" y="27214"/>
          <a:ext cx="1490435" cy="1640804"/>
        </a:xfrm>
        <a:prstGeom prst="rect">
          <a:avLst/>
        </a:prstGeom>
      </xdr:spPr>
    </xdr:pic>
    <xdr:clientData/>
  </xdr:twoCellAnchor>
  <xdr:twoCellAnchor editAs="oneCell">
    <xdr:from>
      <xdr:col>2</xdr:col>
      <xdr:colOff>653144</xdr:colOff>
      <xdr:row>0</xdr:row>
      <xdr:rowOff>0</xdr:rowOff>
    </xdr:from>
    <xdr:to>
      <xdr:col>3</xdr:col>
      <xdr:colOff>16782</xdr:colOff>
      <xdr:row>1</xdr:row>
      <xdr:rowOff>282796</xdr:rowOff>
    </xdr:to>
    <xdr:pic>
      <xdr:nvPicPr>
        <xdr:cNvPr id="3" name="Imagen 2">
          <a:extLst>
            <a:ext uri="{FF2B5EF4-FFF2-40B4-BE49-F238E27FC236}">
              <a16:creationId xmlns:a16="http://schemas.microsoft.com/office/drawing/2014/main" id="{097C745E-B16A-422D-B643-63972D5472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66544" y="0"/>
          <a:ext cx="2475138" cy="1603596"/>
        </a:xfrm>
        <a:prstGeom prst="rect">
          <a:avLst/>
        </a:prstGeom>
      </xdr:spPr>
    </xdr:pic>
    <xdr:clientData/>
  </xdr:twoCellAnchor>
  <xdr:twoCellAnchor editAs="oneCell">
    <xdr:from>
      <xdr:col>0</xdr:col>
      <xdr:colOff>1</xdr:colOff>
      <xdr:row>0</xdr:row>
      <xdr:rowOff>0</xdr:rowOff>
    </xdr:from>
    <xdr:to>
      <xdr:col>0</xdr:col>
      <xdr:colOff>1935390</xdr:colOff>
      <xdr:row>2</xdr:row>
      <xdr:rowOff>134</xdr:rowOff>
    </xdr:to>
    <xdr:pic>
      <xdr:nvPicPr>
        <xdr:cNvPr id="4" name="Imagen 3">
          <a:extLst>
            <a:ext uri="{FF2B5EF4-FFF2-40B4-BE49-F238E27FC236}">
              <a16:creationId xmlns:a16="http://schemas.microsoft.com/office/drawing/2014/main" id="{1B9DA410-B3F4-430E-B440-6ED7A790FF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1935389" cy="1651134"/>
        </a:xfrm>
        <a:prstGeom prst="rect">
          <a:avLst/>
        </a:prstGeom>
      </xdr:spPr>
    </xdr:pic>
    <xdr:clientData/>
  </xdr:twoCellAnchor>
  <xdr:twoCellAnchor>
    <xdr:from>
      <xdr:col>3</xdr:col>
      <xdr:colOff>925359</xdr:colOff>
      <xdr:row>0</xdr:row>
      <xdr:rowOff>244926</xdr:rowOff>
    </xdr:from>
    <xdr:to>
      <xdr:col>8</xdr:col>
      <xdr:colOff>707571</xdr:colOff>
      <xdr:row>0</xdr:row>
      <xdr:rowOff>898071</xdr:rowOff>
    </xdr:to>
    <xdr:sp macro="" textlink="">
      <xdr:nvSpPr>
        <xdr:cNvPr id="5" name="TextBox 11">
          <a:extLst>
            <a:ext uri="{FF2B5EF4-FFF2-40B4-BE49-F238E27FC236}">
              <a16:creationId xmlns:a16="http://schemas.microsoft.com/office/drawing/2014/main" id="{A21E5FF1-D49B-4DF4-B07A-A143E39F532F}"/>
            </a:ext>
          </a:extLst>
        </xdr:cNvPr>
        <xdr:cNvSpPr txBox="1"/>
      </xdr:nvSpPr>
      <xdr:spPr>
        <a:xfrm>
          <a:off x="9650259" y="244926"/>
          <a:ext cx="15339712" cy="653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0">
              <a:solidFill>
                <a:schemeClr val="tx1">
                  <a:lumMod val="65000"/>
                  <a:lumOff val="35000"/>
                </a:schemeClr>
              </a:solidFill>
              <a:latin typeface="Calibri" panose="020F0502020204030204" pitchFamily="34" charset="0"/>
              <a:cs typeface="Calibri" panose="020F0502020204030204" pitchFamily="34" charset="0"/>
            </a:rPr>
            <a:t>Plan de Cierre de Brechas,</a:t>
          </a:r>
          <a:r>
            <a:rPr lang="en-US" sz="3600" b="0" baseline="0">
              <a:solidFill>
                <a:schemeClr val="tx1">
                  <a:lumMod val="65000"/>
                  <a:lumOff val="35000"/>
                </a:schemeClr>
              </a:solidFill>
              <a:latin typeface="Calibri" panose="020F0502020204030204" pitchFamily="34" charset="0"/>
              <a:cs typeface="Calibri" panose="020F0502020204030204" pitchFamily="34" charset="0"/>
            </a:rPr>
            <a:t> FURAG 2022 - 2023</a:t>
          </a:r>
          <a:endParaRPr lang="en-US" sz="3600" b="0">
            <a:solidFill>
              <a:schemeClr val="tx1">
                <a:lumMod val="65000"/>
                <a:lumOff val="35000"/>
              </a:schemeClr>
            </a:solidFill>
            <a:latin typeface="Calibri" panose="020F0502020204030204" pitchFamily="34" charset="0"/>
            <a:cs typeface="Calibri" panose="020F0502020204030204" pitchFamily="34" charset="0"/>
          </a:endParaRPr>
        </a:p>
      </xdr:txBody>
    </xdr:sp>
    <xdr:clientData/>
  </xdr:twoCellAnchor>
  <xdr:twoCellAnchor editAs="oneCell">
    <xdr:from>
      <xdr:col>1</xdr:col>
      <xdr:colOff>114300</xdr:colOff>
      <xdr:row>94</xdr:row>
      <xdr:rowOff>38100</xdr:rowOff>
    </xdr:from>
    <xdr:to>
      <xdr:col>3</xdr:col>
      <xdr:colOff>2116</xdr:colOff>
      <xdr:row>95</xdr:row>
      <xdr:rowOff>1633</xdr:rowOff>
    </xdr:to>
    <xdr:pic>
      <xdr:nvPicPr>
        <xdr:cNvPr id="6" name="Imagen 5">
          <a:extLst>
            <a:ext uri="{FF2B5EF4-FFF2-40B4-BE49-F238E27FC236}">
              <a16:creationId xmlns:a16="http://schemas.microsoft.com/office/drawing/2014/main" id="{5E2E9E13-920A-4AAC-962D-FA2309C8E233}"/>
            </a:ext>
          </a:extLst>
        </xdr:cNvPr>
        <xdr:cNvPicPr>
          <a:picLocks noChangeAspect="1"/>
        </xdr:cNvPicPr>
      </xdr:nvPicPr>
      <xdr:blipFill>
        <a:blip xmlns:r="http://schemas.openxmlformats.org/officeDocument/2006/relationships" r:embed="rId4"/>
        <a:stretch>
          <a:fillRect/>
        </a:stretch>
      </xdr:blipFill>
      <xdr:spPr>
        <a:xfrm>
          <a:off x="2921000" y="90081100"/>
          <a:ext cx="5806016" cy="8969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DA022B-502D-441E-AAB8-332D801EEB29}" name="Tabla14" displayName="Tabla14" ref="A8:BL48" totalsRowShown="0" headerRowDxfId="1231" dataDxfId="1229" totalsRowDxfId="1228" headerRowBorderDxfId="1230">
  <tableColumns count="64">
    <tableColumn id="1" xr3:uid="{B75615E7-DF5E-4386-A657-591151662D3F}" name="Lineamientos Estratégicos" dataDxfId="1227" totalsRowDxfId="1226"/>
    <tableColumn id="3" xr3:uid="{937A5652-6550-489D-B446-4B029F94A0AF}" name="Perspectivas Estratégicas" dataDxfId="1225" totalsRowDxfId="1224"/>
    <tableColumn id="2" xr3:uid="{C4E7E094-B2A4-4551-B55D-988FEF93420B}" name="Objetivos Estratégicos" dataDxfId="1223" totalsRowDxfId="1222"/>
    <tableColumn id="41" xr3:uid="{08C7647E-F8D2-4029-B31A-B5AE154FA37F}" name="Peso Porcentual del Objetivo " dataDxfId="1221" totalsRowDxfId="1220"/>
    <tableColumn id="62" xr3:uid="{DC8B189C-E149-461D-A741-42716E0FC3F5}" name="Meta del Objetivo" dataDxfId="1219" totalsRowDxfId="1218"/>
    <tableColumn id="43" xr3:uid="{7314258A-DB10-41DD-B72A-94B1F93C78E8}" name="Peso porcentual de la Meta de Objetivo" totalsRowDxfId="1217"/>
    <tableColumn id="47" xr3:uid="{E5A8A2B9-3ACE-4C9F-9707-E404D9DDB1AB}" name="Nombre del Indicador de Gestión" totalsRowDxfId="1216"/>
    <tableColumn id="63" xr3:uid="{FE094F4D-9E98-466E-AA7C-1CFA8C647743}" name="Fórmula de Cálculo" dataDxfId="1215" totalsRowDxfId="1214"/>
    <tableColumn id="60" xr3:uid="{2D99AE51-3C32-45E2-AADF-444626408F66}" name="Meta " dataDxfId="1213" totalsRowDxfId="1212"/>
    <tableColumn id="61" xr3:uid="{64945A1B-7AB3-4059-971C-0D8257675613}" name="Unidad de Medida" dataDxfId="1211" totalsRowDxfId="1210"/>
    <tableColumn id="49" xr3:uid="{BE72B081-2B1A-4822-A516-3522E0D80776}" name="Entregable" totalsRowDxfId="1209"/>
    <tableColumn id="58" xr3:uid="{983B526E-37E7-4958-800C-93AAE449DAE5}" name="TRIM I" dataDxfId="1208" totalsRowDxfId="1207"/>
    <tableColumn id="59" xr3:uid="{82D88663-A418-4A35-B1BC-F04D01C18810}" name="TRIM II" dataDxfId="1206" totalsRowDxfId="1205"/>
    <tableColumn id="56" xr3:uid="{F5678919-83A1-477F-B937-5825307DD5D3}" name="TRIM III" dataDxfId="1204" totalsRowDxfId="1203"/>
    <tableColumn id="57" xr3:uid="{B578AC32-D349-4292-9849-2CE7EFC9D3B5}" name="TRIM IV" dataDxfId="1202" totalsRowDxfId="1201"/>
    <tableColumn id="54" xr3:uid="{377ED45B-CFED-41EC-9805-51E16B3442A7}" name="TOTAL AÑO" dataDxfId="1200" totalsRowDxfId="1199">
      <calculatedColumnFormula>SUM(Tabla14[[#This Row],[TRIM I]:[TRIM IV]])</calculatedColumnFormula>
    </tableColumn>
    <tableColumn id="55" xr3:uid="{91195757-24EB-4E88-8B49-723491526197}" name="TRIM I    " dataDxfId="1198" totalsRowDxfId="1197"/>
    <tableColumn id="52" xr3:uid="{0A1B0A02-69BE-4938-961B-DB3CB62B400D}" name="TRIM II     " dataDxfId="1196" totalsRowDxfId="1195"/>
    <tableColumn id="53" xr3:uid="{D5CE0929-3A19-4E62-9117-5132F648CCE9}" name="TRIM III    " dataDxfId="1194" totalsRowDxfId="1193"/>
    <tableColumn id="50" xr3:uid="{834582E5-122F-4035-9FAD-F1B8140C5773}" name="TRIM IV    " dataDxfId="1192" totalsRowDxfId="1191"/>
    <tableColumn id="51" xr3:uid="{75AFAD26-1444-4387-8D63-6CFB2762E000}" name="Resultado acumulado   " dataDxfId="1190" totalsRowDxfId="1189">
      <calculatedColumnFormula>SUM(Tabla14[[#This Row],[TRIM I    ]:[TRIM IV    ]])</calculatedColumnFormula>
    </tableColumn>
    <tableColumn id="48" xr3:uid="{4AEF4089-0CB1-4349-84AF-3108F4622CB9}" name="Ejecución" dataDxfId="1188" totalsRowDxfId="1187">
      <calculatedColumnFormula>IFERROR(IF(P9=0,"",IF((U9/P9)&gt;100%,100%,(U9/P9))),"")</calculatedColumnFormula>
    </tableColumn>
    <tableColumn id="16" xr3:uid="{C0F49CBD-1B8C-4BDF-A6F4-92582E588437}" name="Dimensión MIPG" dataDxfId="1186" totalsRowDxfId="1185"/>
    <tableColumn id="11" xr3:uid="{759B924D-309E-46E3-88D1-BF79AC27964F}" name="Política de Gestión y Desempeño MIPG" dataDxfId="1184" totalsRowDxfId="1183"/>
    <tableColumn id="15" xr3:uid="{156A9FE0-BE38-461E-88D4-AFCF2018E8D2}" name="Componente Plan Anticorrupción y Atención al Ciudadano " dataDxfId="1182" totalsRowDxfId="1181"/>
    <tableColumn id="4" xr3:uid="{6147D15C-B8AD-442E-86AE-1A01C52CD8B9}" name="Subcomponente Plan Anticorrupción y Atención al Ciudadano " dataDxfId="1180" totalsRowDxfId="1179"/>
    <tableColumn id="10" xr3:uid="{2382AD97-E265-491E-83ED-3296C7D43D1B}" name="Peso porcentual de la actividad (frente al objetivo)" dataDxfId="1178" totalsRowDxfId="1177"/>
    <tableColumn id="5" xr3:uid="{9DBE2BCA-F8BB-475B-A9A6-068D0FBA5AEA}" name="Nombre " dataDxfId="1176" totalsRowDxfId="1175"/>
    <tableColumn id="6" xr3:uid="{6F497053-48E4-4F42-B913-AFE5C199B5F4}" name="Descripción" dataDxfId="1174" totalsRowDxfId="1173"/>
    <tableColumn id="17" xr3:uid="{B72ED99A-D54A-44D3-BFA9-B79D11DB696B}" name="Fecha Inicial Planificada" dataDxfId="1172" totalsRowDxfId="1171"/>
    <tableColumn id="7" xr3:uid="{8897FE3B-D828-4C30-9CBB-36A58E1FBED6}" name="Fecha final planificada" dataDxfId="1170" totalsRowDxfId="1169"/>
    <tableColumn id="19" xr3:uid="{005F854A-ACCD-4711-905E-6E11AF5F30C7}" name="Nombre del Indicador " dataDxfId="1168" totalsRowDxfId="1167"/>
    <tableColumn id="18" xr3:uid="{439361CD-2EF2-4826-8BAC-91EA89B03C25}" name="Fórmula de Cálculo   " dataDxfId="1166" totalsRowDxfId="1165"/>
    <tableColumn id="21" xr3:uid="{1D193BE1-D299-40B5-B6AC-3F59BD7A858D}" name="Meta Anual " dataDxfId="1164" totalsRowDxfId="1163"/>
    <tableColumn id="20" xr3:uid="{33CCFFC6-015C-4B38-A6EA-AE6CB49A4C2B}" name="Unidad de Medida   " dataDxfId="1162" totalsRowDxfId="1161"/>
    <tableColumn id="64" xr3:uid="{1D9E5103-669A-4D80-A37C-B58A56C12696}" name="Entregable       " dataDxfId="1160" totalsRowDxfId="1159"/>
    <tableColumn id="25" xr3:uid="{D763A1E3-ECAF-49C6-A0E5-B983A6D8E0F9}" name="TRIM I   " dataDxfId="1158" totalsRowDxfId="1157"/>
    <tableColumn id="24" xr3:uid="{E6463619-0686-432A-B5B5-BFB43710202F}" name="TRIM II   " dataDxfId="1156" totalsRowDxfId="1155"/>
    <tableColumn id="23" xr3:uid="{A49E4710-E477-4481-B15B-3663C8A91DC7}" name="TRIM III   " dataDxfId="1154" totalsRowDxfId="1153"/>
    <tableColumn id="26" xr3:uid="{65C8BF89-3804-41F8-979C-0BDDFF9BAC3B}" name="TRIM IV     " dataDxfId="1152" totalsRowDxfId="1151"/>
    <tableColumn id="22" xr3:uid="{04F17E2A-BFFA-4521-B5FE-EDC89B12417C}" name="TOTAL AÑO      " dataDxfId="1150" totalsRowDxfId="1149">
      <calculatedColumnFormula>SUM(Tabla14[[#This Row],[TRIM I   ]:[TRIM IV     ]])</calculatedColumnFormula>
    </tableColumn>
    <tableColumn id="37" xr3:uid="{9024964A-0C51-4AF5-B6BE-CCE4D4F3402D}" name="Enero " dataDxfId="1148" totalsRowDxfId="1147"/>
    <tableColumn id="38" xr3:uid="{20491628-D0DB-4482-8B83-5C328F834309}" name="Febrero" dataDxfId="1146" totalsRowDxfId="1145"/>
    <tableColumn id="35" xr3:uid="{FAF29A14-1CC3-4220-9E13-13B1715FAD04}" name="Marzo" dataDxfId="1144" totalsRowDxfId="1143"/>
    <tableColumn id="36" xr3:uid="{0F11899C-4072-4E42-BA2B-CA4845AD522F}" name="Abril" dataDxfId="1142" totalsRowDxfId="1141"/>
    <tableColumn id="33" xr3:uid="{F3E6EB72-D8DF-452F-A78D-0A0CF6A6BCF0}" name="Mayo" dataDxfId="1140" totalsRowDxfId="1139"/>
    <tableColumn id="34" xr3:uid="{65BB4B94-6E32-4530-9474-D35F1E28DDA4}" name="Junio" dataDxfId="1138" totalsRowDxfId="1137"/>
    <tableColumn id="31" xr3:uid="{280A5BFF-9C45-4EE0-925A-F5859052985A}" name="Julio" dataDxfId="1136" totalsRowDxfId="1135"/>
    <tableColumn id="32" xr3:uid="{4624D96F-7C7A-4B7E-92C8-0F09BA742CCF}" name="Ago." dataDxfId="1134" totalsRowDxfId="1133"/>
    <tableColumn id="29" xr3:uid="{EDBC001B-BD65-4F95-9DE4-C6F1458F7B1A}" name="Sept." dataDxfId="1132" totalsRowDxfId="1131"/>
    <tableColumn id="30" xr3:uid="{994C76AA-CEB2-45CE-97F0-3C7C67BA64FF}" name="Oct." dataDxfId="1130" totalsRowDxfId="1129"/>
    <tableColumn id="28" xr3:uid="{95C6562A-93DF-44CD-9FAE-D3E60E014921}" name="Nov." dataDxfId="1128" totalsRowDxfId="1127"/>
    <tableColumn id="39" xr3:uid="{DA7390AD-EFA4-4EDF-AB8C-1FBC6B7B7146}" name="Dic" dataDxfId="1126" totalsRowDxfId="1125"/>
    <tableColumn id="40" xr3:uid="{4B23D0E5-C0A6-47E6-99C0-344781CEAACE}" name="Resultado acumulado " dataDxfId="1124" totalsRowDxfId="1123">
      <calculatedColumnFormula>SUM(Tabla14[[#This Row],[Enero ]:[Dic]])</calculatedColumnFormula>
    </tableColumn>
    <tableColumn id="27" xr3:uid="{0F300E51-A180-4E34-B422-FDE584D6DFF2}" name="Ejecución_x000a_" dataDxfId="1122" totalsRowDxfId="1121">
      <calculatedColumnFormula>IFERROR(IF(AO9=0,"",IF((BB9/AO9)&gt;100%,100%,(BB9/AO9))),"")</calculatedColumnFormula>
    </tableColumn>
    <tableColumn id="14" xr3:uid="{2FA133ED-4E31-4EAD-BF60-9A1A8CD269E3}" name="Avance ponderado de la actividad" dataDxfId="1120" totalsRowDxfId="1119" dataCellStyle="Porcentaje">
      <calculatedColumnFormula>IFERROR(BC9*AA9,"")</calculatedColumnFormula>
    </tableColumn>
    <tableColumn id="12" xr3:uid="{20D0DD56-EDB8-43FE-A325-68C4A68D7FD4}" name="Avance ponderado frente a la meta de objetivo" dataDxfId="1118" totalsRowDxfId="1117" dataCellStyle="Porcentaje">
      <calculatedColumnFormula>Tabla14[[#This Row],[Avance ponderado de la actividad]]*AA15</calculatedColumnFormula>
    </tableColumn>
    <tableColumn id="66" xr3:uid="{287321C8-9673-4664-A34A-367A72EC6209}" name="Avance ponderado frente al objetivo    " dataDxfId="1116" totalsRowDxfId="1115" dataCellStyle="Porcentaje"/>
    <tableColumn id="46" xr3:uid="{942E397C-10A5-4C3E-B5BF-5F0AB7AF1CB8}" name="Reporte Oportuno Meta de Objetivo" dataDxfId="1114" totalsRowDxfId="1113"/>
    <tableColumn id="42" xr3:uid="{80B9FE9D-2E41-4E01-B671-0DF42C73C362}" name="Reporte Oportuno Actividad" dataDxfId="1112" totalsRowDxfId="1111" dataCellStyle="Porcentaje"/>
    <tableColumn id="45" xr3:uid="{90D0758F-6D1E-47DD-9723-C4AB804A286A}" name="Área Organizativa" dataDxfId="1110" totalsRowDxfId="1109"/>
    <tableColumn id="44" xr3:uid="{56B1D2CD-2A44-46C9-AF1E-858D301B3317}" name=" Área Responsable de Ejecutar la Actividad" dataDxfId="1108" totalsRowDxfId="1107"/>
    <tableColumn id="9" xr3:uid="{C8BED0C2-59F3-462E-A644-1B74BE399238}" name="Cargo del Responsable de Ejecutar la Actividad / Área Organizativa a la que Pertenece el Cargo" dataDxfId="1106" totalsRowDxfId="1105"/>
    <tableColumn id="13" xr3:uid="{345949E0-678F-42D4-BEE5-BD66D91D9F28}" name="Cargo del Responsable de Documentar la Actividad / Área Organizativa a la que Pertenece el Cargo" dataDxfId="1104" totalsRowDxfId="110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4866BD-39D1-4066-8A71-D7D799D32BD3}" name="Tabla148" displayName="Tabla148" ref="A9:BL15" totalsRowCount="1" headerRowDxfId="1102" dataDxfId="1100" totalsRowDxfId="1099" headerRowBorderDxfId="1101">
  <tableColumns count="64">
    <tableColumn id="1" xr3:uid="{413B6C6A-5CFD-4112-BA13-BCDB6360EB9D}" name="Lineamientos Estratégicos" dataDxfId="1098" totalsRowDxfId="1097"/>
    <tableColumn id="3" xr3:uid="{E2E3EA43-2CD4-4D2C-A8E0-B172953A11C7}" name="Perspectivas Estratégicas" dataDxfId="1096" totalsRowDxfId="1095"/>
    <tableColumn id="2" xr3:uid="{4F3A6ECE-85D3-4103-80B0-4F93C677FC72}" name="Objetivos Estratégicos" dataDxfId="1094" totalsRowDxfId="1093"/>
    <tableColumn id="41" xr3:uid="{4A727F05-8735-45D6-86AC-5FDDF9B85D8F}" name="Peso Porcentual del Objetivo Estratégico" dataDxfId="1092" totalsRowDxfId="1091"/>
    <tableColumn id="62" xr3:uid="{ABE7BA6F-FC83-4DC5-B5A6-6CDAC909CC8A}" name="Meta del Objetivo" dataDxfId="1090" totalsRowDxfId="1089"/>
    <tableColumn id="45" xr3:uid="{13D9A79F-7A00-4082-9A52-FD8857D539F2}" name="Peso porcentual de la Meta de Objetivo" dataDxfId="1088" totalsRowDxfId="1087"/>
    <tableColumn id="49" xr3:uid="{399E3D31-0DCD-416D-8CD0-1A8802EFE37A}" name="Nombre del Indicador de Gestión" dataDxfId="1086" totalsRowDxfId="1085"/>
    <tableColumn id="63" xr3:uid="{C4F23DF4-3F9F-46A3-A114-4F319454DCA9}" name="Fórmula de Cálculo" dataDxfId="1084" totalsRowDxfId="1083"/>
    <tableColumn id="60" xr3:uid="{99DE0A4E-241A-4DC5-909E-7113F7F955B2}" name="Meta " dataDxfId="1082" totalsRowDxfId="1081"/>
    <tableColumn id="61" xr3:uid="{9F155B7C-3589-4C2A-BF39-FEFD584A8BCF}" name="Unidad de Medida" dataDxfId="1080" totalsRowDxfId="1079"/>
    <tableColumn id="64" xr3:uid="{BE6CFD9A-D384-4BD8-B552-D5492C58F51C}" name="Entregable" dataDxfId="1078" totalsRowDxfId="1077"/>
    <tableColumn id="58" xr3:uid="{29D1903F-0CC6-42F8-80C1-96130F0A3799}" name="TRIM I" dataDxfId="1076" totalsRowDxfId="1075"/>
    <tableColumn id="59" xr3:uid="{3223A4AD-0EB8-4FE2-BCB7-25F149A4FC39}" name="TRIM II" dataDxfId="1074" totalsRowDxfId="1073"/>
    <tableColumn id="56" xr3:uid="{50BBFA82-B6A1-4175-9B87-2CAAC2A4946C}" name="TRIM III" dataDxfId="1072" totalsRowDxfId="1071"/>
    <tableColumn id="57" xr3:uid="{B1D8F2EB-A59F-443F-B540-F07A39E733A8}" name="TRIM IV" dataDxfId="1070" totalsRowDxfId="1069"/>
    <tableColumn id="54" xr3:uid="{8CA5F69C-D6C3-46E9-AD51-66D884ED88AA}" name="TOTAL AÑO" dataDxfId="1068" totalsRowDxfId="1067">
      <calculatedColumnFormula>SUM(Tabla148[[#This Row],[TRIM I]:[TRIM IV]])</calculatedColumnFormula>
    </tableColumn>
    <tableColumn id="55" xr3:uid="{16F82FA7-CE03-4481-963C-16BC9C62D011}" name="TRIM I    " dataDxfId="1066" totalsRowDxfId="1065"/>
    <tableColumn id="52" xr3:uid="{9BDE0024-96F4-4ABA-98FE-21F8D6E5EC38}" name="TRIM II     " dataDxfId="1064" totalsRowDxfId="1063"/>
    <tableColumn id="53" xr3:uid="{9A840553-BE8E-4B06-B31E-373BFFC47F6B}" name="TRIM III    " dataDxfId="1062" totalsRowDxfId="1061"/>
    <tableColumn id="50" xr3:uid="{6F4E0DBC-DF6A-4302-87B1-E05DE4B69D16}" name="TRIM IV    " dataDxfId="1060" totalsRowDxfId="1059"/>
    <tableColumn id="51" xr3:uid="{D957AB05-E17F-4709-B587-3467BE42835B}" name="Resultado acumulado   " dataDxfId="1058" totalsRowDxfId="1057">
      <calculatedColumnFormula>SUM(Tabla148[[#This Row],[TRIM I    ]:[TRIM IV    ]])</calculatedColumnFormula>
    </tableColumn>
    <tableColumn id="48" xr3:uid="{A535098F-2BE9-4BEF-850D-EE5467223318}" name="Ejecución   " dataDxfId="1056" totalsRowDxfId="1055">
      <calculatedColumnFormula>IFERROR(IF(P10=0,"",IF((U10/P10)&gt;100%,100%,(U10/P10))),"")</calculatedColumnFormula>
    </tableColumn>
    <tableColumn id="16" xr3:uid="{B32F4F37-A92A-4118-91E3-C58D59402034}" name="Dimensión MIPG" dataDxfId="1054" totalsRowDxfId="1053"/>
    <tableColumn id="11" xr3:uid="{715B9AF2-FAC5-482F-AFEC-6D3EFFEBC36B}" name="Política de Gestión y Desempeño MIPG" dataDxfId="1052" totalsRowDxfId="1051"/>
    <tableColumn id="15" xr3:uid="{4C60C6D9-C47D-4660-A4DF-56CCEAF30FA5}" name="Componente Plan Anticorrupción y Atención al Ciudadano " dataDxfId="1050" totalsRowDxfId="1049"/>
    <tableColumn id="4" xr3:uid="{9FED9130-65FD-40FD-B2A9-CA596F86BFA6}" name="Subcomponente Plan Anticorrupción y Atención al Ciudadano " dataDxfId="1048" totalsRowDxfId="1047"/>
    <tableColumn id="42" xr3:uid="{3BF4B75C-D824-4D8E-BF8E-785527ADBDFC}" name="Peso porcentual de la actividad (frente al objetivo)" dataDxfId="1046" totalsRowDxfId="1045"/>
    <tableColumn id="5" xr3:uid="{A5757692-4B39-426B-A51C-E5E0D6F4D01B}" name="Nombre " dataDxfId="1044" totalsRowDxfId="1043"/>
    <tableColumn id="6" xr3:uid="{B54D028B-A09F-4296-9D12-66BD8A1085BD}" name="Descripción" dataDxfId="1042" totalsRowDxfId="1041"/>
    <tableColumn id="17" xr3:uid="{822EAA41-6C01-46E1-86CC-D7E43F0C9C9D}" name="Fecha Inicial Planificada" dataDxfId="1040" totalsRowDxfId="1039"/>
    <tableColumn id="7" xr3:uid="{69382693-63B4-48AE-B831-9BDAC8AC833E}" name="Fecha final planificada" dataDxfId="1038" totalsRowDxfId="1037"/>
    <tableColumn id="19" xr3:uid="{C2ED5151-C873-4095-9026-96071FE4E046}" name="Nombre del Indicador " dataDxfId="1036" totalsRowDxfId="1035"/>
    <tableColumn id="18" xr3:uid="{39EA728D-7B86-4025-B114-1B395B3EB9BD}" name="Fórmula de Cálculo   " dataDxfId="1034" totalsRowDxfId="1033"/>
    <tableColumn id="21" xr3:uid="{5C2518A2-37F0-4B2F-8F0E-E6BCC66C9388}" name="Meta Anual " dataDxfId="1032" totalsRowDxfId="1031"/>
    <tableColumn id="20" xr3:uid="{66EFD22E-0C93-4FAB-820D-2D28B16E7A41}" name="Unidad de Medida   " dataDxfId="1030" totalsRowDxfId="1029"/>
    <tableColumn id="65" xr3:uid="{62D3BDCF-E85B-441A-AA2A-4EF75865DECF}" name="Entregable       " dataDxfId="1028" totalsRowDxfId="1027"/>
    <tableColumn id="25" xr3:uid="{454957D0-35BB-4530-9A23-CA4E74F5E09F}" name="TRIM I   " dataDxfId="1026" totalsRowDxfId="1025"/>
    <tableColumn id="24" xr3:uid="{6E87BD39-D5AB-4A58-87D7-45C19444F217}" name="TRIM II   " dataDxfId="1024" totalsRowDxfId="1023"/>
    <tableColumn id="23" xr3:uid="{5A2105AE-631A-4778-AC1E-D3D71C1FD39F}" name="TRIM III   " dataDxfId="1022" totalsRowDxfId="1021"/>
    <tableColumn id="26" xr3:uid="{3631C8BD-4549-46CD-9B14-8E54F38E4A24}" name="TRIM IV     " dataDxfId="1020" totalsRowDxfId="1019"/>
    <tableColumn id="22" xr3:uid="{4C4550AA-05D2-4613-B5B0-9617776A0E1D}" name="TOTAL AÑO      " dataDxfId="1018" totalsRowDxfId="1017">
      <calculatedColumnFormula>SUM(Tabla148[[#This Row],[TRIM I   ]:[TRIM IV     ]])</calculatedColumnFormula>
    </tableColumn>
    <tableColumn id="37" xr3:uid="{D73D33E1-F384-4D14-9505-DC81B8669AEA}" name="Enero " dataDxfId="1016" totalsRowDxfId="1015"/>
    <tableColumn id="38" xr3:uid="{8768A25C-FB10-4164-9BC1-D92B175695F2}" name="Febrero" dataDxfId="1014" totalsRowDxfId="1013"/>
    <tableColumn id="35" xr3:uid="{6CEE15B3-4891-4518-803F-1ACA84FAC26F}" name="Marzo" dataDxfId="1012" totalsRowDxfId="1011"/>
    <tableColumn id="36" xr3:uid="{1A1D15D5-DC0E-4CA7-A28E-A6BAA76F8615}" name="Abril" dataDxfId="1010" totalsRowDxfId="1009"/>
    <tableColumn id="33" xr3:uid="{EB685100-07F9-4946-B1BA-E5E7F17CAB08}" name="Mayo" dataDxfId="1008" totalsRowDxfId="1007"/>
    <tableColumn id="34" xr3:uid="{5E9DCA2B-9114-4E83-91F0-887BA151A133}" name="Junio" dataDxfId="1006" totalsRowDxfId="1005"/>
    <tableColumn id="31" xr3:uid="{6802FB0D-90C1-4DEC-A159-5C128150E4C2}" name="Julio" dataDxfId="1004" totalsRowDxfId="1003"/>
    <tableColumn id="32" xr3:uid="{86643B93-1790-4CAD-8D44-B5D99E21660F}" name="Ago." dataDxfId="1002" totalsRowDxfId="1001"/>
    <tableColumn id="29" xr3:uid="{2502ABD7-4F6B-4470-B72E-68C7A0707F89}" name="Sept." dataDxfId="1000" totalsRowDxfId="999"/>
    <tableColumn id="30" xr3:uid="{265409D6-D92B-4AF6-BA1F-46741FF7D2EE}" name="Oct." dataDxfId="998" totalsRowDxfId="997"/>
    <tableColumn id="28" xr3:uid="{4742B49A-653C-4CBC-96F6-0BEB8D0A65AA}" name="Nov." dataDxfId="996" totalsRowDxfId="995"/>
    <tableColumn id="39" xr3:uid="{265B3859-5C24-4185-9EFB-DB31F368F82F}" name="Dic" dataDxfId="994" totalsRowDxfId="993"/>
    <tableColumn id="40" xr3:uid="{42357430-97D7-45CD-920A-5B21F1805A77}" name="Resultado acumulado " dataDxfId="992" totalsRowDxfId="991">
      <calculatedColumnFormula>SUM(Tabla148[[#This Row],[Enero ]:[Dic]])</calculatedColumnFormula>
    </tableColumn>
    <tableColumn id="27" xr3:uid="{AFB7FB11-9A68-4313-BE68-D023A1DF1D1D}" name="Ejecución_x000a_" dataDxfId="990" totalsRowDxfId="989" dataCellStyle="Porcentaje">
      <calculatedColumnFormula>IFERROR(IF(AO10=0,"",IF((BB10/AO10)&gt;100%,100%,(BB10/AO10))),"")</calculatedColumnFormula>
    </tableColumn>
    <tableColumn id="14" xr3:uid="{CEE7C30F-C8A2-4F53-A1B0-07DC775F2484}" name="Avance ponderado de la actividad" totalsRowFunction="custom" dataDxfId="988" totalsRowDxfId="987" dataCellStyle="Porcentaje">
      <calculatedColumnFormula>IFERROR(BC10*AA10,"")</calculatedColumnFormula>
      <totalsRowFormula>SUM(Tabla148[Avance ponderado de la actividad])</totalsRowFormula>
    </tableColumn>
    <tableColumn id="12" xr3:uid="{D6325AB9-7F79-4D52-88E8-CE6B07BA515B}" name="Avance ponderado frente a la meta de objetivo" dataDxfId="986" totalsRowDxfId="985" dataCellStyle="Porcentaje"/>
    <tableColumn id="47" xr3:uid="{A5B5FAD5-C38C-4504-AAEC-CEC8927B852C}" name="Avance ponderado frente al objetivo    " dataDxfId="984" totalsRowDxfId="983" dataCellStyle="Porcentaje"/>
    <tableColumn id="46" xr3:uid="{19FF12CB-8574-4C20-A36C-FFFF1CE72511}" name="Reporte Oportuno Meta de Objetivo" dataDxfId="982" totalsRowDxfId="981" dataCellStyle="Porcentaje"/>
    <tableColumn id="10" xr3:uid="{1A09712B-62FE-458C-BAF6-8E57034A5923}" name="Reporte Oportuno Actividad" dataDxfId="980" totalsRowDxfId="979" dataCellStyle="Porcentaje"/>
    <tableColumn id="44" xr3:uid="{090C5CDA-364E-40D7-A793-52021C55AB6C}" name="Área Organizativa" dataDxfId="978" totalsRowDxfId="977"/>
    <tableColumn id="43" xr3:uid="{4BF2FA61-E350-49AD-A652-5A601C77A80D}" name=" Área Responsable de Ejecutar la Actividad" dataDxfId="976" totalsRowDxfId="975"/>
    <tableColumn id="9" xr3:uid="{70916428-6160-43EB-86FC-3F96B4527DC4}" name="Cargo del Responsable de Ejecutar la Actividad / Área Organizativa a la que Pertenece el Cargo" dataDxfId="974" totalsRowDxfId="973"/>
    <tableColumn id="13" xr3:uid="{FE8815BD-B1C3-44B1-9102-36D850B3B0CE}" name="Cargo del Responsable de Documentar la Actividad / Área Organizativa a la que Pertenece el Cargo" dataDxfId="972" totalsRowDxfId="97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DDA3F9-2EF8-4121-B60D-8D665E43560A}" name="Tabla147" displayName="Tabla147" ref="A9:BL14" totalsRowCount="1" headerRowDxfId="970" dataDxfId="968" totalsRowDxfId="967" headerRowBorderDxfId="969">
  <tableColumns count="64">
    <tableColumn id="1" xr3:uid="{50F42DCE-6F09-4008-88A9-833C73B65A57}" name="Lineamientos Estratégicos" dataDxfId="966" totalsRowDxfId="965"/>
    <tableColumn id="3" xr3:uid="{3396D246-DCA1-457D-BCC7-3290DDA26965}" name="Perspectivas Estratégicas" dataDxfId="964" totalsRowDxfId="963"/>
    <tableColumn id="2" xr3:uid="{287A2866-68F1-4EFF-80AC-0FF87F15FD8E}" name="Objetivos Estratégicos" dataDxfId="962" totalsRowDxfId="961"/>
    <tableColumn id="41" xr3:uid="{2E10CF22-B08F-48D7-89CB-A32F3CFDE064}" name="Peso Porcentual del Objetivo Estratégico" dataDxfId="960" totalsRowDxfId="959"/>
    <tableColumn id="62" xr3:uid="{5B360203-332E-4B16-B831-06ABAEC2BE0E}" name="Meta del Objetivo" dataDxfId="958" totalsRowDxfId="957"/>
    <tableColumn id="45" xr3:uid="{99C5B069-1A31-42EC-AD38-A122C25BF020}" name="Peso porcentual de la Meta de Objetivo" dataDxfId="956" totalsRowDxfId="955"/>
    <tableColumn id="49" xr3:uid="{1E11B273-6D97-4E62-AC19-23655DEBE06C}" name="Nombre del Indicador de Gestión" dataDxfId="954" totalsRowDxfId="953"/>
    <tableColumn id="63" xr3:uid="{4A7B04D6-C97B-4204-9D37-1D28CE7C0551}" name="Fórmula de Cálculo" dataDxfId="952" totalsRowDxfId="951"/>
    <tableColumn id="60" xr3:uid="{63CC52BF-3DB7-40B9-826F-A3C3C3C224B9}" name="Meta " dataDxfId="950" totalsRowDxfId="949"/>
    <tableColumn id="61" xr3:uid="{62A051A0-6837-4B5C-95EA-B171741113AD}" name="Unidad de Medida" dataDxfId="948" totalsRowDxfId="947"/>
    <tableColumn id="64" xr3:uid="{5EAD5C1A-D94E-4E2E-B797-5CB6B5312FBF}" name="Entregable" dataDxfId="946" totalsRowDxfId="945"/>
    <tableColumn id="58" xr3:uid="{F288802B-B923-495B-A3D2-7A04E164F02E}" name="TRIM I" dataDxfId="944" totalsRowDxfId="943"/>
    <tableColumn id="59" xr3:uid="{F139DF43-32A7-4578-A930-8E25D35B1897}" name="TRIM II" dataDxfId="942" totalsRowDxfId="941"/>
    <tableColumn id="56" xr3:uid="{4868B927-BF41-4EC6-82EC-817627832D35}" name="TRIM III" dataDxfId="940" totalsRowDxfId="939"/>
    <tableColumn id="57" xr3:uid="{174D54E2-5EF9-4496-95DF-96890BC7ED35}" name="TRIM IV" dataDxfId="938" totalsRowDxfId="937"/>
    <tableColumn id="54" xr3:uid="{80945FD9-22C3-426D-A088-52382E6A508A}" name="TOTAL AÑO" dataDxfId="936" totalsRowDxfId="935">
      <calculatedColumnFormula>SUM(Tabla147[[#This Row],[TRIM I]:[TRIM IV]])</calculatedColumnFormula>
    </tableColumn>
    <tableColumn id="55" xr3:uid="{E3A06E44-1D37-4E64-82BB-F4C446B1B5D1}" name="TRIM I    " dataDxfId="934" totalsRowDxfId="933"/>
    <tableColumn id="52" xr3:uid="{893E1D35-1654-436C-8148-A9CC199F1B16}" name="TRIM II     " dataDxfId="932" totalsRowDxfId="931"/>
    <tableColumn id="53" xr3:uid="{7B29E1D8-C58D-4066-BD72-EDCC63725369}" name="TRIM III    " dataDxfId="930" totalsRowDxfId="929"/>
    <tableColumn id="50" xr3:uid="{568CC69F-0608-421A-9AD5-F90E52C86465}" name="TRIM IV    " dataDxfId="928" totalsRowDxfId="927"/>
    <tableColumn id="51" xr3:uid="{E602A2AD-AD1E-467E-8296-FE6D1F5FD3C9}" name="Resultado acumulado   " dataDxfId="926" totalsRowDxfId="925">
      <calculatedColumnFormula>SUM(Tabla147[[#This Row],[TRIM I    ]:[TRIM IV    ]])</calculatedColumnFormula>
    </tableColumn>
    <tableColumn id="48" xr3:uid="{EC283875-A505-4CA8-8220-6DD7354F1A78}" name="Ejecución   " dataDxfId="924" totalsRowDxfId="923">
      <calculatedColumnFormula>IFERROR(IF(P10=0,"",IF((U10/P10)&gt;100%,100%,(U10/P10))),"")</calculatedColumnFormula>
    </tableColumn>
    <tableColumn id="16" xr3:uid="{3E88B083-D343-45F0-8629-837798489896}" name="Dimensión MIPG" dataDxfId="922" totalsRowDxfId="921"/>
    <tableColumn id="11" xr3:uid="{4EDCC35D-8D3C-411E-8F19-3411A6AE5BCC}" name="Política de Gestión y Desempeño MIPG" dataDxfId="920" totalsRowDxfId="919"/>
    <tableColumn id="15" xr3:uid="{FC943001-1019-45E6-822A-F1F59783D30D}" name="Componente Plan Anticorrupción y Atención al Ciudadano " dataDxfId="918" totalsRowDxfId="917"/>
    <tableColumn id="4" xr3:uid="{D14DD756-DBD7-46FD-8445-0A5486AB4523}" name="Subcomponente Plan Anticorrupción y Atención al Ciudadano " dataDxfId="916" totalsRowDxfId="915"/>
    <tableColumn id="42" xr3:uid="{FBC766CD-D573-4CD8-862C-6BD6FC50A366}" name="Peso porcentual de la actividad (frente al objetivo)" dataDxfId="914" totalsRowDxfId="913"/>
    <tableColumn id="5" xr3:uid="{D2F95D36-10B1-4923-8CF5-F1BD87933D66}" name="Nombre " dataDxfId="912" totalsRowDxfId="911"/>
    <tableColumn id="6" xr3:uid="{F493B54D-F5F1-4C6D-BA30-A1D198609CD7}" name="Descripción" dataDxfId="910" totalsRowDxfId="909"/>
    <tableColumn id="17" xr3:uid="{9F9FF65A-E055-4F70-A5C9-F25C204E1668}" name="Fecha Inicial Planificada" dataDxfId="908" totalsRowDxfId="907"/>
    <tableColumn id="7" xr3:uid="{4C095A61-A5E7-4535-B15F-EF319B480BFD}" name="Fecha final planificada" dataDxfId="906" totalsRowDxfId="905"/>
    <tableColumn id="19" xr3:uid="{4CB49F78-84D6-463A-94B0-43D2A4C99AB8}" name="Nombre del Indicador " dataDxfId="904" totalsRowDxfId="903"/>
    <tableColumn id="18" xr3:uid="{6E4C5380-3FB1-4AED-975A-8C2685BEBD2B}" name="Fórmula de Cálculo   " dataDxfId="902" totalsRowDxfId="901"/>
    <tableColumn id="21" xr3:uid="{082018CB-0F3D-4DC6-AD87-8AD102126175}" name="Meta Anual " dataDxfId="900" totalsRowDxfId="899"/>
    <tableColumn id="20" xr3:uid="{B285013B-7190-4D73-8995-801C628FE757}" name="Unidad de Medida   " dataDxfId="898" totalsRowDxfId="897"/>
    <tableColumn id="65" xr3:uid="{0393422C-073B-4AF5-A9F9-A27AE988728E}" name="Entregable       " dataDxfId="896" totalsRowDxfId="895"/>
    <tableColumn id="25" xr3:uid="{003ED17A-ECB4-4632-8E0C-C7F192D6DFE6}" name="TRIM I   " dataDxfId="894" totalsRowDxfId="893"/>
    <tableColumn id="24" xr3:uid="{0EA12A8D-EC0B-48DF-B018-F33DF4E18458}" name="TRIM II   " dataDxfId="892" totalsRowDxfId="891"/>
    <tableColumn id="23" xr3:uid="{8249072F-4798-49EB-ADBC-7FB73D94D278}" name="TRIM III   " dataDxfId="890" totalsRowDxfId="889"/>
    <tableColumn id="26" xr3:uid="{1EC05A16-E1CC-40A3-9FBE-4ED3262BEAF7}" name="TRIM IV     " dataDxfId="888" totalsRowDxfId="887"/>
    <tableColumn id="22" xr3:uid="{D5C88372-AEFC-4209-B40A-5A2B8FFB5A25}" name="TOTAL AÑO      " dataDxfId="886" totalsRowDxfId="885"/>
    <tableColumn id="37" xr3:uid="{F7109CD6-A00A-4299-875A-A5CB26D8CAAE}" name="Enero " dataDxfId="884" totalsRowDxfId="883"/>
    <tableColumn id="38" xr3:uid="{C947D1D5-5DCD-47A7-9194-39F214E509F4}" name="Febrero" dataDxfId="882" totalsRowDxfId="881"/>
    <tableColumn id="35" xr3:uid="{3F0B16F4-299C-4FCB-A2D0-19C64EB92D4B}" name="Marzo" dataDxfId="880" totalsRowDxfId="879"/>
    <tableColumn id="36" xr3:uid="{21CF9C6A-0CE3-469F-B150-2BA535D916DD}" name="Abril" dataDxfId="878" totalsRowDxfId="877"/>
    <tableColumn id="33" xr3:uid="{F946FEA9-66B1-429C-9FBE-C955F2880B87}" name="Mayo" dataDxfId="876" totalsRowDxfId="875"/>
    <tableColumn id="34" xr3:uid="{1F2F1E2E-65D7-4680-B230-A354F38765E3}" name="Junio" dataDxfId="874" totalsRowDxfId="873"/>
    <tableColumn id="31" xr3:uid="{E3E333C4-7432-4AA5-ACAC-EBAC39E46806}" name="Julio" dataDxfId="872" totalsRowDxfId="871"/>
    <tableColumn id="32" xr3:uid="{FCE52ADD-2B99-4F47-946C-AE71DE163C83}" name="Ago." dataDxfId="870" totalsRowDxfId="869"/>
    <tableColumn id="29" xr3:uid="{1779DE0B-255E-4E44-B3B6-689008CF5C4E}" name="Sept." dataDxfId="868" totalsRowDxfId="867"/>
    <tableColumn id="30" xr3:uid="{3A6354E9-624B-497A-B59F-44837174C19C}" name="Oct." dataDxfId="866" totalsRowDxfId="865"/>
    <tableColumn id="28" xr3:uid="{0170265F-6431-4AA5-953F-EE921EE1952F}" name="Nov." dataDxfId="864" totalsRowDxfId="863"/>
    <tableColumn id="39" xr3:uid="{42D62731-A947-4526-983E-B105C40D7241}" name="Dic" dataDxfId="862" totalsRowDxfId="861"/>
    <tableColumn id="40" xr3:uid="{6EB1930E-99BC-4EE8-AC62-6BBB5A2C0B73}" name="Resultado acumulado " dataDxfId="860" totalsRowDxfId="859">
      <calculatedColumnFormula>SUM(Tabla147[[#This Row],[Enero ]:[Dic]])</calculatedColumnFormula>
    </tableColumn>
    <tableColumn id="27" xr3:uid="{6FF12799-1C61-4A7D-968D-98089E0E45BF}" name="Ejecución_x000a_" dataDxfId="858" totalsRowDxfId="857" dataCellStyle="Porcentaje">
      <calculatedColumnFormula>IFERROR(IF(AO10=0,"",IF((BB10/AO10)&gt;100%,100%,(BB10/AO10))),"")</calculatedColumnFormula>
    </tableColumn>
    <tableColumn id="14" xr3:uid="{575FCB02-9259-4AFE-94FE-3EE289C3FB11}" name="Avance ponderado de la actividad" totalsRowFunction="custom" dataDxfId="856" totalsRowDxfId="855" dataCellStyle="Porcentaje">
      <calculatedColumnFormula>IFERROR(BC10*AA10,"")</calculatedColumnFormula>
      <totalsRowFormula>SUM(Tabla147[Avance ponderado de la actividad])</totalsRowFormula>
    </tableColumn>
    <tableColumn id="12" xr3:uid="{D45F4E87-D5F6-4378-A75A-C8C6DEA6538C}" name="Avance ponderado frente a la meta de objetivo" dataDxfId="854" totalsRowDxfId="853" dataCellStyle="Porcentaje"/>
    <tableColumn id="47" xr3:uid="{65302D2A-8E27-4AA3-B5CC-AA955B566794}" name="Avance ponderado frente al objetivo    " dataDxfId="852" totalsRowDxfId="851" dataCellStyle="Porcentaje"/>
    <tableColumn id="46" xr3:uid="{A2D970D8-061E-49C8-A846-A2E58B07B4E1}" name="Reporte Oportuno Meta de Objetivo" dataDxfId="850" totalsRowDxfId="849" dataCellStyle="Porcentaje"/>
    <tableColumn id="10" xr3:uid="{AD358C8B-1B1C-41F5-81F1-99E15CD6628B}" name="Reporte Oportuno Actividad" dataDxfId="848" totalsRowDxfId="847" dataCellStyle="Porcentaje"/>
    <tableColumn id="44" xr3:uid="{297BCFFE-C052-40AB-8E29-EDB2FE0719D5}" name="Área Organizativa" dataDxfId="846" totalsRowDxfId="845"/>
    <tableColumn id="43" xr3:uid="{F71BA0F2-80BC-4C52-92BD-019C639ED8E1}" name=" Área Responsable de Ejecutar la Actividad" dataDxfId="844" totalsRowDxfId="843"/>
    <tableColumn id="9" xr3:uid="{0AD6C2E5-09C5-42F7-90DD-70743330AF6B}" name="Cargo del Responsable de Ejecutar la Actividad / Área Organizativa a la que Pertenece el Cargo" dataDxfId="842" totalsRowDxfId="841"/>
    <tableColumn id="13" xr3:uid="{5985921E-AC02-42E0-940A-8012B5E7583A}" name="Cargo del Responsable de Documentar la Actividad / Área Organizativa a la que Pertenece el Cargo" dataDxfId="840" totalsRowDxfId="83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73DFE89-B71F-44D7-8EFD-D3F6D6776A7F}" name="Tabla14359" displayName="Tabla14359" ref="A9:BL11" totalsRowCount="1" headerRowDxfId="838" dataDxfId="836" totalsRowDxfId="835" headerRowBorderDxfId="837">
  <tableColumns count="64">
    <tableColumn id="1" xr3:uid="{1E2B7D81-C9A0-4FEE-A915-92FEB67F9E09}" name="Lineamientos Estratégicos" dataDxfId="834" totalsRowDxfId="833"/>
    <tableColumn id="3" xr3:uid="{2D7D01F4-2555-4509-96FF-18563DF5C7D2}" name="Perspectivas Estratégicas" dataDxfId="832" totalsRowDxfId="831"/>
    <tableColumn id="2" xr3:uid="{CBD295EC-E837-421F-8FE6-AA76507E36BE}" name="Objetivos Estratégicos" dataDxfId="830" totalsRowDxfId="829"/>
    <tableColumn id="41" xr3:uid="{F0FF92EB-A73B-4B92-B61A-64F204B01C79}" name="Peso Porcentual del Objetivo Estratégico" dataDxfId="828" totalsRowDxfId="827" dataCellStyle="Porcentaje"/>
    <tableColumn id="62" xr3:uid="{7205E1C2-249C-45A0-ACB9-53FB4A7C8C7B}" name="Meta del Objetivo" dataDxfId="826" totalsRowDxfId="825"/>
    <tableColumn id="45" xr3:uid="{BCAB12ED-87B3-4B33-A09E-1468BFD4DBEE}" name="Peso porcentual de la Meta de Objetivo" dataDxfId="824" totalsRowDxfId="823" dataCellStyle="Porcentaje"/>
    <tableColumn id="49" xr3:uid="{19D74C6B-5541-4398-90FD-CB98B729E1E5}" name="Nombre del Indicador de Gestión" dataDxfId="822" totalsRowDxfId="821" dataCellStyle="Porcentaje"/>
    <tableColumn id="63" xr3:uid="{8834BF8B-4672-42AA-9AE9-F5105208E585}" name="Fórmula de Cálculo" dataDxfId="820" totalsRowDxfId="819"/>
    <tableColumn id="60" xr3:uid="{2E3EF509-9F9F-4E08-A6E0-03BF25678280}" name="Meta " dataDxfId="818" totalsRowDxfId="817"/>
    <tableColumn id="61" xr3:uid="{DFD48142-D023-4ACB-8EA8-7332E7245838}" name="Unidad de Medida" dataDxfId="816" totalsRowDxfId="815"/>
    <tableColumn id="64" xr3:uid="{6A2B8141-16A7-4CAC-8E39-F63D66119C3C}" name="Entregable" dataDxfId="814" totalsRowDxfId="813"/>
    <tableColumn id="58" xr3:uid="{794E0BC8-C99E-4FCF-B78B-64BEDF85D269}" name="TRIM I" dataDxfId="812" totalsRowDxfId="811"/>
    <tableColumn id="59" xr3:uid="{23C48D1E-FB83-4E6F-911A-FCA937D1D5C9}" name="TRIM II" dataDxfId="810" totalsRowDxfId="809"/>
    <tableColumn id="56" xr3:uid="{99867D05-284A-4A53-AC02-1D15AC6D3E11}" name="TRIM III" dataDxfId="808" totalsRowDxfId="807"/>
    <tableColumn id="57" xr3:uid="{4B0F717C-6CE9-4AEE-ABA1-8F344134E548}" name="TRIM IV" dataDxfId="806" totalsRowDxfId="805"/>
    <tableColumn id="54" xr3:uid="{E90C22BC-74FB-4538-A830-FC0EC86C4CED}" name="TOTAL AÑO" dataDxfId="804" totalsRowDxfId="803">
      <calculatedColumnFormula>SUM(Tabla14359[[#This Row],[TRIM I]:[TRIM IV]])</calculatedColumnFormula>
    </tableColumn>
    <tableColumn id="55" xr3:uid="{8DAA3186-9F42-4AD8-B1B8-C5828F38647B}" name="TRIM I    " dataDxfId="802" totalsRowDxfId="801"/>
    <tableColumn id="52" xr3:uid="{0B55E9E7-1A93-4E60-A496-E1D76E807118}" name="TRIM II     " dataDxfId="800" totalsRowDxfId="799"/>
    <tableColumn id="53" xr3:uid="{AF2CAF95-5277-46F2-8195-CBF7C7DE665A}" name="TRIM III    " dataDxfId="798" totalsRowDxfId="797"/>
    <tableColumn id="50" xr3:uid="{DD92C946-890D-4F05-B889-B69690D8AE92}" name="TRIM IV    " dataDxfId="796" totalsRowDxfId="795"/>
    <tableColumn id="51" xr3:uid="{3C58DD36-7216-4F76-A348-765DDDDA7450}" name="Resultado acumulado   " dataDxfId="794" totalsRowDxfId="793">
      <calculatedColumnFormula>SUM(Tabla14359[[#This Row],[TRIM I    ]:[TRIM IV    ]])</calculatedColumnFormula>
    </tableColumn>
    <tableColumn id="48" xr3:uid="{5D759D1D-5FAE-41FF-B57A-965E8AC69CBC}" name="Ejecución   " dataDxfId="792" totalsRowDxfId="791" dataCellStyle="Porcentaje">
      <calculatedColumnFormula>IFERROR(IF(P10=0,"",IF((U10/P10)&gt;100%,100%,(U10/P10))),"")</calculatedColumnFormula>
    </tableColumn>
    <tableColumn id="16" xr3:uid="{10B0506E-A07D-4CAB-8F7E-43A6F065B14F}" name="Dimensión MIPG" dataDxfId="790" totalsRowDxfId="789"/>
    <tableColumn id="11" xr3:uid="{1751FBDB-F010-4980-86C7-7E2D35719FF0}" name="Política de Gestión y Desempeño MIPG" dataDxfId="788" totalsRowDxfId="787"/>
    <tableColumn id="15" xr3:uid="{FC046B15-7EDD-415F-B8AA-B51C48A3248B}" name="Componente Plan Anticorrupción y Atención al Ciudadano " dataDxfId="786" totalsRowDxfId="785"/>
    <tableColumn id="4" xr3:uid="{B47A5A64-D7AD-4F4C-AE7A-831E7ACCA59E}" name="Subcomponente Plan Anticorrupción y Atención al Ciudadano " dataDxfId="784" totalsRowDxfId="783"/>
    <tableColumn id="42" xr3:uid="{7B7C634F-F833-4617-8EF2-900AD311234B}" name="Peso porcentual de la actividad (frente al objetivo)" dataDxfId="782" totalsRowDxfId="781" dataCellStyle="Porcentaje"/>
    <tableColumn id="5" xr3:uid="{335BDB32-EFA9-4689-91FC-85D3DAD77A93}" name="Nombre " dataDxfId="780" totalsRowDxfId="779"/>
    <tableColumn id="6" xr3:uid="{681DB405-DB27-4051-BD62-94D1367AFD0F}" name="Descripción" dataDxfId="778" totalsRowDxfId="777"/>
    <tableColumn id="17" xr3:uid="{10D1700D-B5DF-4CBC-926D-73D54ECDF173}" name="Fecha Inicial Planificada" dataDxfId="776" totalsRowDxfId="775"/>
    <tableColumn id="7" xr3:uid="{FC96DA82-944D-40BA-8322-E323F1E45927}" name="Fecha final planificada" dataDxfId="774" totalsRowDxfId="773"/>
    <tableColumn id="19" xr3:uid="{8B4F7492-EAC6-4667-882A-CB3F1C703E71}" name="Nombre del Indicador " dataDxfId="772" totalsRowDxfId="771"/>
    <tableColumn id="18" xr3:uid="{EC3B4999-74E4-4798-8205-D47C2687F064}" name="Fórmula de Cálculo   " dataDxfId="770" totalsRowDxfId="769"/>
    <tableColumn id="21" xr3:uid="{1ACD41D1-9485-47C7-A95C-F750D86DCA01}" name="Meta Anual " dataDxfId="768" totalsRowDxfId="767"/>
    <tableColumn id="20" xr3:uid="{59ACB9CF-5618-4F37-9268-90A5CEDF177F}" name="Unidad de Medida   " dataDxfId="766" totalsRowDxfId="765"/>
    <tableColumn id="65" xr3:uid="{5B5D0332-87F1-431B-864C-92896883652A}" name="Entregable       " dataDxfId="764" totalsRowDxfId="763"/>
    <tableColumn id="25" xr3:uid="{3CEA9E78-2D2A-4DF5-9DF5-CA5E41B5DAEE}" name="TRIM I   " dataDxfId="762" totalsRowDxfId="761"/>
    <tableColumn id="24" xr3:uid="{296D6A66-8C79-4FD1-85EA-3DD70CAB08A0}" name="TRIM II   " dataDxfId="760" totalsRowDxfId="759"/>
    <tableColumn id="23" xr3:uid="{07C9937D-30F8-4CF9-829E-54BB069AF45A}" name="TRIM III   " dataDxfId="758" totalsRowDxfId="757"/>
    <tableColumn id="26" xr3:uid="{440974D5-9B80-450C-87EB-F3406388F809}" name="TRIM IV     " dataDxfId="756" totalsRowDxfId="755"/>
    <tableColumn id="22" xr3:uid="{04595CD7-11A4-41FC-B7EF-A8B1A7AB09CB}" name="TOTAL AÑO      " dataDxfId="754" totalsRowDxfId="753">
      <calculatedColumnFormula>SUM(Tabla14359[[#This Row],[TRIM I   ]:[TRIM IV     ]])</calculatedColumnFormula>
    </tableColumn>
    <tableColumn id="37" xr3:uid="{B98F0466-932B-4491-BE5A-905A5DCE1E7D}" name="Enero " dataDxfId="752" totalsRowDxfId="751"/>
    <tableColumn id="38" xr3:uid="{997D2153-4784-4824-9BA5-7BCF5E349BF5}" name="Febrero" dataDxfId="750" totalsRowDxfId="749"/>
    <tableColumn id="35" xr3:uid="{D3A7732D-BF0B-410A-81FF-67539EBD50BE}" name="Marzo" dataDxfId="748" totalsRowDxfId="747"/>
    <tableColumn id="36" xr3:uid="{C331281F-5238-4766-9994-B99FF5EC5D78}" name="Abril" dataDxfId="746" totalsRowDxfId="745"/>
    <tableColumn id="33" xr3:uid="{1A20D2EE-B777-49F5-B715-2D9489FF6127}" name="Mayo" dataDxfId="744" totalsRowDxfId="743"/>
    <tableColumn id="34" xr3:uid="{69AC7B98-6E94-4CE7-8EC7-135D37E81B98}" name="Junio" dataDxfId="742" totalsRowDxfId="741"/>
    <tableColumn id="31" xr3:uid="{A2240453-FB63-49E7-B966-FA5ADBF05764}" name="Julio" dataDxfId="740" totalsRowDxfId="739"/>
    <tableColumn id="32" xr3:uid="{C32C8B29-1F7C-4356-B357-8BB1C5C623B8}" name="Ago." dataDxfId="738" totalsRowDxfId="737"/>
    <tableColumn id="29" xr3:uid="{6313FE30-AF89-4928-9A34-7E68F410BC41}" name="Sept." dataDxfId="736" totalsRowDxfId="735"/>
    <tableColumn id="30" xr3:uid="{34762A2C-817F-4EA6-AD9B-2E3467CF1C48}" name="Oct." dataDxfId="734" totalsRowDxfId="733"/>
    <tableColumn id="28" xr3:uid="{B6A49A12-937E-45B4-A994-DB45996A9AF0}" name="Nov." dataDxfId="732" totalsRowDxfId="731"/>
    <tableColumn id="39" xr3:uid="{15FA9384-AC33-46C5-AB9B-BF6FC1AA367E}" name="Dic" dataDxfId="730" totalsRowDxfId="729"/>
    <tableColumn id="40" xr3:uid="{688DEF5A-2AF5-4135-8FD7-FF642F173681}" name="Resultado acumulado " dataDxfId="728" totalsRowDxfId="727">
      <calculatedColumnFormula>SUM(Tabla14359[[#This Row],[Enero ]:[Dic]])</calculatedColumnFormula>
    </tableColumn>
    <tableColumn id="27" xr3:uid="{3EB4D688-A5CD-459B-8139-88EEC0861DBF}" name="Ejecución_x000a_" dataDxfId="726" totalsRowDxfId="725" dataCellStyle="Porcentaje">
      <calculatedColumnFormula>IFERROR(IF(AO10=0,"",IF((BB10/AO10)&gt;100%,100%,(BB10/AO10))),"")</calculatedColumnFormula>
    </tableColumn>
    <tableColumn id="14" xr3:uid="{36D0E32C-E77D-49BF-9DED-750270D77B1B}" name="Avance ponderado de la actividad" totalsRowFunction="custom" dataDxfId="724" totalsRowDxfId="723" dataCellStyle="Porcentaje">
      <calculatedColumnFormula>IFERROR(BC10*AA10,"")</calculatedColumnFormula>
      <totalsRowFormula array="1">+Tabla14359[Avance ponderado de la actividad]</totalsRowFormula>
    </tableColumn>
    <tableColumn id="12" xr3:uid="{BE672DA9-72C2-46AC-B223-ED2347E84FF9}" name="Avance ponderado frente a la meta de objetivo" dataDxfId="722" totalsRowDxfId="721" dataCellStyle="Porcentaje">
      <calculatedColumnFormula>Tabla14359[[#Totals],[Avance ponderado de la actividad]]*Tabla14359[[#This Row],[Peso porcentual de la Meta de Objetivo]]</calculatedColumnFormula>
    </tableColumn>
    <tableColumn id="47" xr3:uid="{5709D7A5-F126-4822-91EA-766962B2D316}" name="Avance ponderado frente al objetivo    " dataDxfId="720" totalsRowDxfId="719" dataCellStyle="Porcentaje">
      <calculatedColumnFormula>Tabla14359[[#This Row],[Avance ponderado frente a la meta de objetivo]]*Tabla14359[[#This Row],[Peso Porcentual del Objetivo Estratégico]]</calculatedColumnFormula>
    </tableColumn>
    <tableColumn id="46" xr3:uid="{58FC6017-049C-4529-BE0B-CB9BA0B7241F}" name="Reporte Oportuno Meta de Objetivo" dataDxfId="718" totalsRowDxfId="717" dataCellStyle="Porcentaje"/>
    <tableColumn id="10" xr3:uid="{B37A2BA1-4F7D-4E6C-99FD-9353595763B1}" name="Reporte Oportuno Actividad" dataDxfId="716" totalsRowDxfId="715" dataCellStyle="Porcentaje"/>
    <tableColumn id="44" xr3:uid="{16895004-00A7-42A3-A9A4-7D16CA61FC8E}" name="Área Organizativa" dataDxfId="714" totalsRowDxfId="713"/>
    <tableColumn id="43" xr3:uid="{FBFA7FCF-696A-491B-886C-AA50287D7272}" name=" Área Responsable de Ejecutar la Actividad" dataDxfId="712" totalsRowDxfId="711"/>
    <tableColumn id="9" xr3:uid="{1A04AA8F-735B-453F-B778-499533804BDC}" name="Cargo del Responsable de Ejecutar la Actividad / Área Organizativa a la que Pertenece el Cargo" dataDxfId="710" totalsRowDxfId="709"/>
    <tableColumn id="13" xr3:uid="{025C8C76-C5A4-4C40-9D70-4A4DD75B1AA0}" name="Cargo del Responsable de Documentar la Actividad / Área Organizativa a la que Pertenece el Cargo" dataDxfId="708" totalsRowDxfId="707"/>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0084F3-F5C3-49DD-B678-30BA60EB1AE5}" name="Tabla1438" displayName="Tabla1438" ref="A9:BL12" totalsRowCount="1" headerRowDxfId="706" dataDxfId="704" totalsRowDxfId="703" headerRowBorderDxfId="705">
  <tableColumns count="64">
    <tableColumn id="1" xr3:uid="{9656B718-8EEA-4357-9428-7E0CB7F3F633}" name="Lineamientos Estratégicos" dataDxfId="702" totalsRowDxfId="701"/>
    <tableColumn id="3" xr3:uid="{04F88A07-3474-403D-A1C0-A9E1F29EFF0B}" name="Perspectivas Estratégicas" dataDxfId="700" totalsRowDxfId="699"/>
    <tableColumn id="2" xr3:uid="{D16CBCDD-D7C3-4C13-A366-A6D59793D658}" name="Objetivos Estratégicos" dataDxfId="698" totalsRowDxfId="697"/>
    <tableColumn id="41" xr3:uid="{DF2FE1B2-BB0F-4C75-9BB3-77884FBD36CE}" name="Peso Porcentual del Objetivo Estratégico" dataDxfId="696" totalsRowDxfId="695"/>
    <tableColumn id="62" xr3:uid="{DD4D05FC-9801-41C7-86AE-D01A8C73014C}" name="Meta del Objetivo" dataDxfId="694" totalsRowDxfId="693"/>
    <tableColumn id="45" xr3:uid="{F6D581C1-3D20-46EB-92AB-AAF215DCF2B8}" name="Peso porcentual de la Meta de Objetivo" dataDxfId="692" totalsRowDxfId="691"/>
    <tableColumn id="49" xr3:uid="{EA327E2C-B2AB-4A8B-9CA8-25AC7154B0FD}" name="Nombre del Indicador de Gestión" totalsRowDxfId="690"/>
    <tableColumn id="63" xr3:uid="{FB3BA002-6943-4E37-93D0-EE69EEBB29B2}" name="Fórmula de Cálculo" dataDxfId="689" totalsRowDxfId="688"/>
    <tableColumn id="60" xr3:uid="{286843C3-C9A0-4B82-B183-8F26D0B98E96}" name="Meta " dataDxfId="687" totalsRowDxfId="686"/>
    <tableColumn id="61" xr3:uid="{1D209D49-4591-4715-A889-A64B49C6ACEC}" name="Unidad de Medida" dataDxfId="685" totalsRowDxfId="684"/>
    <tableColumn id="64" xr3:uid="{A2D4B60A-BD26-4741-B3B1-B227C675505F}" name="Entregable" dataDxfId="683" totalsRowDxfId="682"/>
    <tableColumn id="58" xr3:uid="{BDE49E58-C06A-46AE-ACF1-47840A8B17AA}" name="TRIM I" dataDxfId="681" totalsRowDxfId="680"/>
    <tableColumn id="59" xr3:uid="{3D0B7751-20A9-4EA3-82D6-AEF40B6A5A26}" name="TRIM II" dataDxfId="679" totalsRowDxfId="678"/>
    <tableColumn id="56" xr3:uid="{A2BA107B-E9CF-41AB-8105-5730982F9C52}" name="TRIM III" dataDxfId="677" totalsRowDxfId="676"/>
    <tableColumn id="57" xr3:uid="{64BF1D7A-AF2B-4D80-BC67-7B3A2E8F7114}" name="TRIM IV" dataDxfId="675" totalsRowDxfId="674"/>
    <tableColumn id="54" xr3:uid="{F6AAEA8E-FE95-41C9-A7BC-CD9B6501ADD8}" name="TOTAL AÑO" dataDxfId="673" totalsRowDxfId="672">
      <calculatedColumnFormula>SUM(Tabla1438[[#This Row],[TRIM I]:[TRIM IV]])</calculatedColumnFormula>
    </tableColumn>
    <tableColumn id="55" xr3:uid="{7E971EEB-4068-4636-A1E2-7BE16CB37650}" name="TRIM I    " dataDxfId="671" totalsRowDxfId="670"/>
    <tableColumn id="52" xr3:uid="{EDD12B0E-4BAE-4FE6-A1E8-35179976AAAF}" name="TRIM II     " dataDxfId="669" totalsRowDxfId="668"/>
    <tableColumn id="53" xr3:uid="{2623E81E-ED7A-472A-8314-0639F4A2A77F}" name="TRIM III    " dataDxfId="667" totalsRowDxfId="666"/>
    <tableColumn id="50" xr3:uid="{CB99DF1A-7EFD-4AB2-8D5C-3EFEDB9C1D8B}" name="TRIM IV    " dataDxfId="665" totalsRowDxfId="664"/>
    <tableColumn id="51" xr3:uid="{1889A7A5-0779-43B3-8C1B-84EC054698FF}" name="Resultado acumulado   " dataDxfId="663" totalsRowDxfId="662"/>
    <tableColumn id="48" xr3:uid="{D4500FD4-C39B-4B3E-A39E-A99C4205B07A}" name="Ejecución   " dataDxfId="661" totalsRowDxfId="660"/>
    <tableColumn id="16" xr3:uid="{A6696639-7823-40F3-859D-2B4F88D90C37}" name="Dimensión MIPG" dataDxfId="659" totalsRowDxfId="658"/>
    <tableColumn id="11" xr3:uid="{6D919FA4-1873-40FE-A3FF-8B41499133B9}" name="Política de Gestión y Desempeño MIPG" dataDxfId="657" totalsRowDxfId="656"/>
    <tableColumn id="15" xr3:uid="{F0B4877E-C31D-4DFE-B014-D6B0B8B0E8B0}" name="Componente Plan Anticorrupción y Atención al Ciudadano " dataDxfId="655" totalsRowDxfId="654"/>
    <tableColumn id="4" xr3:uid="{DFE2BC84-394D-4873-8438-865941D0F188}" name="Subcomponente Plan Anticorrupción y Atención al Ciudadano " dataDxfId="653" totalsRowDxfId="652"/>
    <tableColumn id="42" xr3:uid="{B76199B0-0777-44C6-9E08-D6CCE1F71B8D}" name="Peso porcentual de la actividad (frente al objetivo)" dataDxfId="651" totalsRowDxfId="650"/>
    <tableColumn id="5" xr3:uid="{80026B3D-1957-41C1-8311-AE271AD0B830}" name="Nombre " dataDxfId="649" totalsRowDxfId="648"/>
    <tableColumn id="6" xr3:uid="{F49E5CB3-CDBD-4F80-8789-4234AF91E708}" name="Descripción" dataDxfId="647" totalsRowDxfId="646"/>
    <tableColumn id="17" xr3:uid="{9AAA8570-A4F6-4408-B450-3072AD98F65A}" name="Fecha Inicial Planificada" dataDxfId="645" totalsRowDxfId="644"/>
    <tableColumn id="7" xr3:uid="{C3D48B6B-4BA0-413F-9628-FB6B9A44C0D9}" name="Fecha final planificada" dataDxfId="643" totalsRowDxfId="642"/>
    <tableColumn id="19" xr3:uid="{6DFBFF30-F8CD-45FC-AA95-7A6182366B46}" name="Nombre del Indicador " dataDxfId="641" totalsRowDxfId="640"/>
    <tableColumn id="18" xr3:uid="{62E4625C-00DF-41DE-AE64-7C367B7E1CA8}" name="Fórmula de Cálculo   " dataDxfId="639" totalsRowDxfId="638"/>
    <tableColumn id="21" xr3:uid="{043E5D1E-ABCF-4403-8087-068E4D4CD0B9}" name="Meta Anual " dataDxfId="637" totalsRowDxfId="636"/>
    <tableColumn id="20" xr3:uid="{B1F221C2-940F-46DF-9AC7-BDE1601DE787}" name="Unidad de Medida   " dataDxfId="635" totalsRowDxfId="634"/>
    <tableColumn id="65" xr3:uid="{57EF008D-3CE2-40D3-9C7C-D5A84FAD476A}" name="Entregable       " dataDxfId="633" totalsRowDxfId="632"/>
    <tableColumn id="25" xr3:uid="{A0323DC2-3127-4050-9AA5-64E26C48B133}" name="TRIM I   " dataDxfId="631" totalsRowDxfId="630"/>
    <tableColumn id="24" xr3:uid="{72DE7902-9F00-41AD-A92B-B8EF14763F62}" name="TRIM II   " dataDxfId="629" totalsRowDxfId="628"/>
    <tableColumn id="23" xr3:uid="{28E74F3A-826B-4C5A-B4B7-33BC8FE48BB0}" name="TRIM III   " dataDxfId="627" totalsRowDxfId="626"/>
    <tableColumn id="26" xr3:uid="{EA40B1AB-7689-46FE-A2D4-8B69F6D02808}" name="TRIM IV     " dataDxfId="625" totalsRowDxfId="624"/>
    <tableColumn id="22" xr3:uid="{42FCF905-6CAB-4927-8FE4-CF3E41C419B4}" name="TOTAL AÑO      " dataDxfId="623" totalsRowDxfId="622"/>
    <tableColumn id="37" xr3:uid="{2514C7B3-2947-4439-8D09-0C84BB1F6F8C}" name="Enero " dataDxfId="621" totalsRowDxfId="620"/>
    <tableColumn id="38" xr3:uid="{60D3D221-2475-4780-AD88-2BD434A89789}" name="Febrero" dataDxfId="619" totalsRowDxfId="618"/>
    <tableColumn id="35" xr3:uid="{49E1F4CD-EE28-40D7-A10F-E02CAA42EA40}" name="Marzo" dataDxfId="617" totalsRowDxfId="616"/>
    <tableColumn id="36" xr3:uid="{EE5F1FF8-3E60-4AC7-B203-50C0619D130D}" name="Abril" dataDxfId="615" totalsRowDxfId="614"/>
    <tableColumn id="33" xr3:uid="{3D344130-F3DB-44E0-A46C-4726F1CB4150}" name="Mayo" dataDxfId="613" totalsRowDxfId="612"/>
    <tableColumn id="34" xr3:uid="{A0C795A2-EA31-42E3-9605-1BE33F470E56}" name="Junio" dataDxfId="611" totalsRowDxfId="610"/>
    <tableColumn id="31" xr3:uid="{735F5C23-D6AD-4112-A1A4-9E1C7EC93DB8}" name="Julio" dataDxfId="609" totalsRowDxfId="608"/>
    <tableColumn id="32" xr3:uid="{E8FE6AB2-183F-41CF-B9C6-FDF081B2FA65}" name="Ago." dataDxfId="607" totalsRowDxfId="606"/>
    <tableColumn id="29" xr3:uid="{C20D3007-836E-4F07-959F-315732E28E93}" name="Sept." dataDxfId="605" totalsRowDxfId="604"/>
    <tableColumn id="30" xr3:uid="{75AD0B5D-88F7-49A3-BD29-3854204D1D51}" name="Oct." dataDxfId="603" totalsRowDxfId="602"/>
    <tableColumn id="28" xr3:uid="{EDF6090E-1333-4D16-86E1-61599C2F2899}" name="Nov." dataDxfId="601" totalsRowDxfId="600"/>
    <tableColumn id="39" xr3:uid="{357C076B-7641-4086-9994-48A2A76FC7C7}" name="Dic" dataDxfId="599" totalsRowDxfId="598"/>
    <tableColumn id="40" xr3:uid="{5D570060-0C53-42F5-B511-08E1446EB702}" name="Resultado acumulado " dataDxfId="597" totalsRowDxfId="596"/>
    <tableColumn id="27" xr3:uid="{3E0AA932-4EAE-49D3-827E-7093BBBD7410}" name="Ejecución_x000a_" dataDxfId="595" totalsRowDxfId="594" dataCellStyle="Porcentaje"/>
    <tableColumn id="14" xr3:uid="{F739C6DD-CB73-4C51-A90E-C553803EB244}" name="Avance ponderado de la actividad" totalsRowFunction="custom" dataDxfId="593" totalsRowDxfId="592" dataCellStyle="Porcentaje">
      <calculatedColumnFormula>IFERROR(BC10*AA10,"")</calculatedColumnFormula>
      <totalsRowFormula>SUM(Tabla1438[Avance ponderado de la actividad])</totalsRowFormula>
    </tableColumn>
    <tableColumn id="12" xr3:uid="{55344C30-73F2-48F7-8893-02E5598C168E}" name="Avance ponderado frente a la meta de objetivo" dataDxfId="591" totalsRowDxfId="590" dataCellStyle="Porcentaje"/>
    <tableColumn id="47" xr3:uid="{483B87A8-1545-497B-83EC-7E9A9266E9BD}" name="Avance ponderado frente al objetivo    " dataDxfId="589" totalsRowDxfId="588" dataCellStyle="Porcentaje"/>
    <tableColumn id="46" xr3:uid="{63AC38A1-E9E7-4BDA-AB17-5D0D4EBCC7A5}" name="Reporte Oportuno Meta de Objetivo" dataDxfId="587" totalsRowDxfId="586" dataCellStyle="Porcentaje"/>
    <tableColumn id="10" xr3:uid="{76F22133-1738-4348-BF17-9E669CECF782}" name="Reporte Oportuno Actividad" dataDxfId="585" totalsRowDxfId="584" dataCellStyle="Porcentaje"/>
    <tableColumn id="44" xr3:uid="{1086BC73-8888-45B0-ACB3-EDF493F41772}" name="Área Organizativa" dataDxfId="583" totalsRowDxfId="582"/>
    <tableColumn id="43" xr3:uid="{CF376F9C-3114-4F43-B793-CB00072F1034}" name=" Área Responsable de Ejecutar la Actividad" dataDxfId="581" totalsRowDxfId="580"/>
    <tableColumn id="9" xr3:uid="{D0B607A3-2C66-4AEC-B91F-9740409C5BB4}" name="Cargo del Responsable de Ejecutar la Actividad / Área Organizativa a la que Pertenece el Cargo" dataDxfId="579" totalsRowDxfId="578"/>
    <tableColumn id="13" xr3:uid="{61931E83-8D4F-4959-861A-4EE80B1F4760}" name="Cargo del Responsable de Documentar la Actividad / Área Organizativa a la que Pertenece el Cargo" dataDxfId="577" totalsRowDxfId="576"/>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341341-3928-46D9-832E-BB958BEACD72}" name="Tabla1437" displayName="Tabla1437" ref="A9:BL12" totalsRowCount="1" headerRowDxfId="575" dataDxfId="573" totalsRowDxfId="572" headerRowBorderDxfId="574">
  <tableColumns count="64">
    <tableColumn id="1" xr3:uid="{198ADD39-6121-4D68-922F-274A9FA9E16F}" name="Lineamientos Estratégicos" dataDxfId="571" totalsRowDxfId="570"/>
    <tableColumn id="3" xr3:uid="{18CD6589-CAC1-495D-A4A5-E9C8D9E2A077}" name="Perspectivas Estratégicas" dataDxfId="569" totalsRowDxfId="568"/>
    <tableColumn id="2" xr3:uid="{AC0047CC-4790-47D4-8DE7-00C1DD433E21}" name="Objetivos Estratégicos" dataDxfId="567" totalsRowDxfId="566"/>
    <tableColumn id="41" xr3:uid="{9506C809-1B70-4E8D-91CC-60C9C52F0728}" name="Peso Porcentual del Objetivo Estratégico" dataDxfId="565" totalsRowDxfId="564"/>
    <tableColumn id="62" xr3:uid="{928386D2-7F34-4F06-903D-2F72F602FE27}" name="Meta del Objetivo" dataDxfId="563" totalsRowDxfId="562"/>
    <tableColumn id="45" xr3:uid="{792CBC69-C913-43BE-B170-05882E9573C9}" name="Peso porcentual de la Meta de Objetivo" dataDxfId="561" totalsRowDxfId="560"/>
    <tableColumn id="49" xr3:uid="{5C4BF319-3399-4E65-B739-D3C8F7BC890E}" name="Nombre del Indicador de Gestión" totalsRowDxfId="559"/>
    <tableColumn id="63" xr3:uid="{46F00152-8EEC-40AC-8298-B1DE72E27FB5}" name="Fórmula de Cálculo" dataDxfId="558" totalsRowDxfId="557"/>
    <tableColumn id="60" xr3:uid="{182D8AE6-81AA-43C1-844D-3F26E93F46B0}" name="Meta " dataDxfId="556" totalsRowDxfId="555"/>
    <tableColumn id="61" xr3:uid="{4000A167-1D60-4C99-BFD9-943DA122D881}" name="Unidad de Medida" dataDxfId="554" totalsRowDxfId="553"/>
    <tableColumn id="64" xr3:uid="{A3B2832F-D07C-4D87-9FD1-D11B45532A79}" name="Entregable" dataDxfId="552" totalsRowDxfId="551"/>
    <tableColumn id="58" xr3:uid="{0F81FC01-C27E-4EA0-90D1-AF6A1CA98EC0}" name="TRIM I" dataDxfId="550" totalsRowDxfId="549"/>
    <tableColumn id="59" xr3:uid="{315863B2-DCE5-4248-B38E-0AAED8EF88E4}" name="TRIM II" dataDxfId="548" totalsRowDxfId="547"/>
    <tableColumn id="56" xr3:uid="{77D4AB45-EB25-400F-BFAA-A24C55DDF561}" name="TRIM III" dataDxfId="546" totalsRowDxfId="545"/>
    <tableColumn id="57" xr3:uid="{A62ACC05-92B9-4464-92AC-64E624269BE7}" name="TRIM IV" dataDxfId="544" totalsRowDxfId="543"/>
    <tableColumn id="54" xr3:uid="{E9B95F55-A538-41D9-8356-DD9443BE962F}" name="TOTAL AÑO" dataDxfId="542" totalsRowDxfId="541">
      <calculatedColumnFormula>SUM(Tabla1437[[#This Row],[TRIM I]:[TRIM IV]])</calculatedColumnFormula>
    </tableColumn>
    <tableColumn id="55" xr3:uid="{50E06AF2-77B1-4527-B977-94BF3DFF533B}" name="TRIM I    " dataDxfId="540" totalsRowDxfId="539"/>
    <tableColumn id="52" xr3:uid="{FADDF558-70AB-43AF-8E1E-DCE68C6A12AD}" name="TRIM II     " dataDxfId="538" totalsRowDxfId="537"/>
    <tableColumn id="53" xr3:uid="{D7482B39-C9A2-462B-9563-29BFCF1E267E}" name="TRIM III    " dataDxfId="536" totalsRowDxfId="535"/>
    <tableColumn id="50" xr3:uid="{CE753D39-713F-4F93-9E8E-CCC048BEFC06}" name="TRIM IV    " dataDxfId="534" totalsRowDxfId="533"/>
    <tableColumn id="51" xr3:uid="{0A755BC5-5C1C-4E3A-9BBB-FB3EDF0EF54D}" name="Resultado acumulado   " dataDxfId="532" totalsRowDxfId="531"/>
    <tableColumn id="48" xr3:uid="{9B8B7849-BA52-44E1-A801-47D30C69E3F8}" name="Ejecución   " dataDxfId="530" totalsRowDxfId="529"/>
    <tableColumn id="16" xr3:uid="{A8CE1704-8FD6-442F-B912-A44C566CC102}" name="Dimensión MIPG" dataDxfId="528" totalsRowDxfId="527"/>
    <tableColumn id="11" xr3:uid="{E8C73872-EF91-414F-B99F-A4A570534DE6}" name="Política de Gestión y Desempeño MIPG" dataDxfId="526" totalsRowDxfId="525"/>
    <tableColumn id="15" xr3:uid="{39465221-F5CB-4ABA-85FB-3515037454CF}" name="Componente Plan Anticorrupción y Atención al Ciudadano " dataDxfId="524" totalsRowDxfId="523"/>
    <tableColumn id="4" xr3:uid="{FD781FF4-7288-4B64-95F9-D1626E0FA53E}" name="Subcomponente Plan Anticorrupción y Atención al Ciudadano " dataDxfId="522" totalsRowDxfId="521"/>
    <tableColumn id="42" xr3:uid="{7C695C12-BEF2-44A9-B10A-540A2BAB3F9D}" name="Peso porcentual de la actividad (frente al objetivo)" dataDxfId="520" totalsRowDxfId="519"/>
    <tableColumn id="5" xr3:uid="{9F80E4A8-5007-4688-B0DF-EFC67EA2C076}" name="Nombre " dataDxfId="518" totalsRowDxfId="517"/>
    <tableColumn id="6" xr3:uid="{59896A60-2250-46D9-9A97-DAE66E47D8A6}" name="Descripción" dataDxfId="516" totalsRowDxfId="515"/>
    <tableColumn id="17" xr3:uid="{16680A72-6D6E-41D3-AE17-8D16BEAC3008}" name="Fecha Inicial Planificada" dataDxfId="514" totalsRowDxfId="513"/>
    <tableColumn id="7" xr3:uid="{BB066D8F-F68A-48DD-A3D2-48C41B3CF6E6}" name="Fecha final planificada" dataDxfId="512" totalsRowDxfId="511"/>
    <tableColumn id="19" xr3:uid="{52C32528-36E4-4D4D-BC1E-C3B181812D90}" name="Nombre del Indicador " dataDxfId="510" totalsRowDxfId="509"/>
    <tableColumn id="18" xr3:uid="{60B84460-6CC3-4CA6-8BFB-9A0EF62421BD}" name="Fórmula de Cálculo   " dataDxfId="508" totalsRowDxfId="507"/>
    <tableColumn id="21" xr3:uid="{A21D3C17-8C5D-4BBF-AF18-9EC5C8519C53}" name="Meta Anual " dataDxfId="506" totalsRowDxfId="505"/>
    <tableColumn id="20" xr3:uid="{297D21FC-6C2F-450B-A9A0-C4EDD01563D4}" name="Unidad de Medida   " dataDxfId="504" totalsRowDxfId="503"/>
    <tableColumn id="65" xr3:uid="{C675BDA4-F4E4-453F-B2DB-F2B1BDDD9FF7}" name="Entregable       " dataDxfId="502" totalsRowDxfId="501"/>
    <tableColumn id="25" xr3:uid="{58A8398B-D077-4BB6-9A5D-BCC47CA9CE79}" name="TRIM I   " dataDxfId="500" totalsRowDxfId="499"/>
    <tableColumn id="24" xr3:uid="{D4F89B18-4A19-4074-8F8D-7D8601C31015}" name="TRIM II   " dataDxfId="498" totalsRowDxfId="497"/>
    <tableColumn id="23" xr3:uid="{6561E9F4-708F-4CB1-93E7-DD6794026238}" name="TRIM III   " dataDxfId="496" totalsRowDxfId="495"/>
    <tableColumn id="26" xr3:uid="{871ABB65-8DDC-4AA6-A007-C96F28A6C477}" name="TRIM IV     " dataDxfId="494" totalsRowDxfId="493"/>
    <tableColumn id="22" xr3:uid="{10C16A7D-BB11-41BB-B402-61C33C7EC350}" name="TOTAL AÑO      " dataDxfId="492" totalsRowDxfId="491">
      <calculatedColumnFormula>SUM(Tabla1437[[#This Row],[TRIM I   ]:[TRIM IV     ]])</calculatedColumnFormula>
    </tableColumn>
    <tableColumn id="37" xr3:uid="{B0800CA8-B22A-418E-896A-5F59E640D573}" name="Enero " dataDxfId="490" totalsRowDxfId="489"/>
    <tableColumn id="38" xr3:uid="{2E62B275-4D5F-41B5-9788-91EC26CE8C72}" name="Febrero" dataDxfId="488" totalsRowDxfId="487"/>
    <tableColumn id="35" xr3:uid="{325FB696-B93E-424E-96CD-372F6D01CEDA}" name="Marzo" dataDxfId="486" totalsRowDxfId="485"/>
    <tableColumn id="36" xr3:uid="{60A46FFF-64DC-494C-AEB5-C9F65B4537DC}" name="Abril" dataDxfId="484" totalsRowDxfId="483"/>
    <tableColumn id="33" xr3:uid="{BFFA3F36-234C-439D-B884-85F366A64900}" name="Mayo" dataDxfId="482" totalsRowDxfId="481"/>
    <tableColumn id="34" xr3:uid="{2D17C1BB-70E7-43ED-B60C-B07CF10CDA46}" name="Junio" dataDxfId="480" totalsRowDxfId="479"/>
    <tableColumn id="31" xr3:uid="{616EEF96-478D-4D41-ADB0-A78D33991C2F}" name="Julio" dataDxfId="478" totalsRowDxfId="477"/>
    <tableColumn id="32" xr3:uid="{E0E11CC6-62FF-47FB-81E5-0E8EDF2113E6}" name="Ago." dataDxfId="476" totalsRowDxfId="475"/>
    <tableColumn id="29" xr3:uid="{F0A64C28-4C1A-4083-8423-ADFC33802277}" name="Sept." dataDxfId="474" totalsRowDxfId="473"/>
    <tableColumn id="30" xr3:uid="{FBFE1B22-258E-40BE-9A68-B64C6FD2C04D}" name="Oct." dataDxfId="472" totalsRowDxfId="471"/>
    <tableColumn id="28" xr3:uid="{359B141A-4A73-404D-9494-CD2AA9D9C4F0}" name="Nov." dataDxfId="470" totalsRowDxfId="469"/>
    <tableColumn id="39" xr3:uid="{0DA30979-B8B4-4446-B8D1-FED2F566CC7A}" name="Dic" dataDxfId="468" totalsRowDxfId="467"/>
    <tableColumn id="40" xr3:uid="{BA247E98-31CE-4449-9A51-3E6467A659F6}" name="Resultado acumulado " dataDxfId="466" totalsRowDxfId="465"/>
    <tableColumn id="27" xr3:uid="{69F55E24-6D46-4B20-A47B-E74FC045295B}" name="Ejecución_x000a_" dataDxfId="464" totalsRowDxfId="463"/>
    <tableColumn id="14" xr3:uid="{F5CB7FBD-93D2-4081-B9AB-B3EB8F19720A}" name="Avance ponderado de la actividad" totalsRowFunction="custom" dataDxfId="462" totalsRowDxfId="461" dataCellStyle="Porcentaje">
      <calculatedColumnFormula>IFERROR(BC10*AA10,"")</calculatedColumnFormula>
      <totalsRowFormula>SUM(Tabla1437[Avance ponderado de la actividad])</totalsRowFormula>
    </tableColumn>
    <tableColumn id="12" xr3:uid="{1AF83B61-E10F-47BE-AD58-AE53E7375D18}" name="Avance ponderado frente a la meta de objetivo" dataDxfId="460" totalsRowDxfId="459"/>
    <tableColumn id="47" xr3:uid="{1E190BEB-A7F4-405E-9E90-A4CDE698D9C4}" name="Avance ponderado frente al objetivo    " dataDxfId="458" totalsRowDxfId="457"/>
    <tableColumn id="46" xr3:uid="{6723F89E-53B9-491D-9B05-25382A540BB2}" name="Reporte Oportuno Meta de Objetivo" dataDxfId="456" totalsRowDxfId="455"/>
    <tableColumn id="10" xr3:uid="{B7F154B2-4646-4956-A7F4-B6FCB1F2BFD6}" name="Reporte Oportuno Actividad" dataDxfId="454" totalsRowDxfId="453"/>
    <tableColumn id="44" xr3:uid="{158BA52C-C3DB-42BA-BDBE-F887160D2EA8}" name="Área Organizativa" dataDxfId="452" totalsRowDxfId="451"/>
    <tableColumn id="43" xr3:uid="{0BFB31E6-E0FA-4CC3-962C-AE81C388B78F}" name=" Área Responsable de Ejecutar la Actividad" dataDxfId="450" totalsRowDxfId="449"/>
    <tableColumn id="9" xr3:uid="{A5378509-10DA-4989-AB16-2E09B37C36A5}" name="Cargo del Responsable de Ejecutar la Actividad / Área Organizativa a la que Pertenece el Cargo" dataDxfId="448" totalsRowDxfId="447"/>
    <tableColumn id="13" xr3:uid="{A91A3E11-DE49-4BCC-B44E-7A72A74E5BD2}" name="Cargo del Responsable de Documentar la Actividad / Área Organizativa a la que Pertenece el Cargo" dataDxfId="446" totalsRowDxfId="4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5BFE00-DE73-4876-8719-2C6734574981}" name="Tabla143" displayName="Tabla143" ref="A9:BL47" totalsRowShown="0" headerRowDxfId="444" dataDxfId="442" headerRowBorderDxfId="443">
  <tableColumns count="64">
    <tableColumn id="1" xr3:uid="{9761CEB6-D596-40AC-AE72-61C1B7C9A079}" name="Lineamientos Estratégicos" dataDxfId="441"/>
    <tableColumn id="3" xr3:uid="{76134485-0FCD-4A8E-B2D6-B002DF34BD71}" name="Perspectivas Estratégicas" dataDxfId="440"/>
    <tableColumn id="2" xr3:uid="{5346916B-7786-4178-B739-D0326D8C01A6}" name="Objetivos Estratégicos" dataDxfId="439"/>
    <tableColumn id="12" xr3:uid="{DBE86E63-5767-4922-BEB1-EB85282A1F1A}" name="Peso Porcentual del Objetivo Estratégico" dataDxfId="438"/>
    <tableColumn id="62" xr3:uid="{09E903CD-1379-4C20-8359-EA229741DF12}" name="Meta del Objetivo" dataDxfId="437"/>
    <tableColumn id="49" xr3:uid="{9CFE8678-5BA0-49F3-AB3F-39EEE364AB03}" name="Peso porcentual de la Meta de Objetivo" dataDxfId="436"/>
    <tableColumn id="46" xr3:uid="{F1EB6EA8-6744-4E8E-8C52-8DC9A22297C6}" name="Nombre del Indicador de Gestión" dataDxfId="435"/>
    <tableColumn id="63" xr3:uid="{EF916EB5-E94F-400B-B08A-73B64817BEF8}" name="Fórmula de Cálculo" dataDxfId="434"/>
    <tableColumn id="60" xr3:uid="{12C358C6-58D9-4D89-A7A3-91E0ABCBEC38}" name="Meta " dataDxfId="433"/>
    <tableColumn id="61" xr3:uid="{6FD008C3-D3F4-45DB-AA72-C891468ED89F}" name="Unidad de Medida" dataDxfId="432"/>
    <tableColumn id="64" xr3:uid="{0D0A33F1-9382-4323-8848-45CC2FF00D68}" name="Entregable" dataDxfId="431"/>
    <tableColumn id="58" xr3:uid="{6A7ECE7F-626F-439C-A0FA-8BD65920E486}" name="TRIM I" dataDxfId="430"/>
    <tableColumn id="59" xr3:uid="{EC59DCD0-8C9A-4BE4-BE06-9AE2BB6568F2}" name="TRIM II" dataDxfId="429"/>
    <tableColumn id="56" xr3:uid="{7FB72C43-C923-435D-B199-8C03BACD36A4}" name="TRIM III" dataDxfId="428"/>
    <tableColumn id="57" xr3:uid="{9EF711CC-1E7B-4DD3-8C49-4CA472E4B03D}" name="TRIM IV" dataDxfId="427"/>
    <tableColumn id="54" xr3:uid="{099774D1-33E2-4153-BE53-F3DDCB906179}" name="TOTAL AÑO" dataDxfId="426"/>
    <tableColumn id="55" xr3:uid="{06515C11-1C62-4B13-8CBA-6688175B4822}" name="TRIM I    " dataDxfId="425"/>
    <tableColumn id="52" xr3:uid="{0D3664D3-6CB1-481E-B02F-CA40860397F3}" name="TRIM II     " dataDxfId="424"/>
    <tableColumn id="53" xr3:uid="{DF57517D-6F93-4D05-8387-64E84F6814B4}" name="TRIM III    " dataDxfId="423"/>
    <tableColumn id="50" xr3:uid="{F0DE31AB-5293-40F1-8819-9E834C1F415A}" name="TRIM IV    " dataDxfId="422"/>
    <tableColumn id="51" xr3:uid="{A0EBCE88-ED55-4FE9-88FE-9CF804040DC2}" name="Resultado acumulado   " dataDxfId="421">
      <calculatedColumnFormula>SUM(Tabla143[[#This Row],[TRIM I    ]:[TRIM IV    ]])</calculatedColumnFormula>
    </tableColumn>
    <tableColumn id="48" xr3:uid="{4B3DC4DC-0277-4580-8F20-F2E426EA467E}" name="Ejecución   " dataDxfId="420">
      <calculatedColumnFormula>IFERROR(IF(P10=0,"",IF((U10/P10)&gt;100%,100%,(U10/P10))),"")</calculatedColumnFormula>
    </tableColumn>
    <tableColumn id="16" xr3:uid="{43C138D8-B258-4C6E-B338-C5AB8947D008}" name="Dimensión MIPG" dataDxfId="419"/>
    <tableColumn id="11" xr3:uid="{70A1FDAF-092E-4438-9D73-71B2FC26B5BD}" name="Política de Gestión y Desempeño MIPG" dataDxfId="418"/>
    <tableColumn id="15" xr3:uid="{94057E61-43FC-4312-987A-4239673EB773}" name="Componente Plan Anticorrupción y Atención al Ciudadano " dataDxfId="417"/>
    <tableColumn id="4" xr3:uid="{21B2B956-5233-432D-8ABB-DE9C74E4DAF1}" name="Subcomponente Plan Anticorrupción y Atención al Ciudadano " dataDxfId="416"/>
    <tableColumn id="42" xr3:uid="{322DF6D1-178D-475B-B105-52F6D5F3A100}" name="Peso porcentual de la actividad (frente al objetivo)" dataDxfId="415" dataCellStyle="Porcentaje"/>
    <tableColumn id="5" xr3:uid="{C8C69927-4041-4142-9DF8-8DB9FBD9B6BF}" name="Nombre " dataDxfId="414"/>
    <tableColumn id="6" xr3:uid="{2C98D7C2-8E4B-4E9A-A41D-CEFE2843378E}" name="Descripción" dataDxfId="413"/>
    <tableColumn id="17" xr3:uid="{2C36E319-AF1E-4F68-A6F7-9FB3953AE292}" name="Fecha Inicial Planificada" dataDxfId="412"/>
    <tableColumn id="7" xr3:uid="{24C93394-176C-457A-AA54-DBFE4576331F}" name="Fecha final planificada" dataDxfId="411"/>
    <tableColumn id="19" xr3:uid="{4C8E5EF2-FE89-4983-B589-095F179FE996}" name="Nombre del Indicador " dataDxfId="410"/>
    <tableColumn id="18" xr3:uid="{A719E7C0-812A-4DBA-B28F-4FADD4DCADB5}" name="Fórmula de Cálculo   " dataDxfId="409"/>
    <tableColumn id="21" xr3:uid="{9A61F032-E0DA-4A61-9159-C74A9620129E}" name="Meta Anual " dataDxfId="408"/>
    <tableColumn id="20" xr3:uid="{66BCE5C0-344E-496D-A1E5-0B9C061575F7}" name="Unidad de Medida   " dataDxfId="407"/>
    <tableColumn id="65" xr3:uid="{C527E464-D648-491D-9E49-CDACF36C454B}" name="Entregable       " dataDxfId="406"/>
    <tableColumn id="25" xr3:uid="{6F775665-057E-4113-9AA4-2D97BCAA6AB3}" name="TRIM I   " dataDxfId="405"/>
    <tableColumn id="24" xr3:uid="{682FE6D0-A679-483B-924B-4BA97B30F1C9}" name="TRIM II   " dataDxfId="404"/>
    <tableColumn id="23" xr3:uid="{8E1D31D1-6169-4E5A-8522-8107820A952C}" name="TRIM III   " dataDxfId="403"/>
    <tableColumn id="26" xr3:uid="{F27B61CC-0E05-4017-A121-6FC68CA4372E}" name="TRIM IV     " dataDxfId="402"/>
    <tableColumn id="22" xr3:uid="{C7835D67-2267-4314-88B9-9F81D6CB1416}" name="TOTAL AÑO      " dataDxfId="401">
      <calculatedColumnFormula>SUM(Tabla143[[#This Row],[TRIM I   ]:[TRIM IV     ]])</calculatedColumnFormula>
    </tableColumn>
    <tableColumn id="37" xr3:uid="{F6991940-F093-4994-BEF0-19EE39E01FEC}" name="Enero " dataDxfId="400"/>
    <tableColumn id="38" xr3:uid="{D9A324BD-9000-4073-B08A-7246E78FCC75}" name="Febrero" dataDxfId="399"/>
    <tableColumn id="35" xr3:uid="{551E0D8D-B67A-4078-B10D-E4DD3CB5E8B6}" name="Marzo" dataDxfId="398"/>
    <tableColumn id="36" xr3:uid="{7E4C9A31-4924-49E5-82BC-357314CA9F77}" name="Abril" dataDxfId="397"/>
    <tableColumn id="33" xr3:uid="{38C112D5-46AD-4437-A556-15625AF87EAF}" name="Mayo" dataDxfId="396"/>
    <tableColumn id="34" xr3:uid="{F0044AA3-D255-466F-8C8C-DCD669324918}" name="Junio" dataDxfId="395"/>
    <tableColumn id="31" xr3:uid="{AA9975D9-9DA6-4C5D-81AE-C624B55E711D}" name="Julio" dataDxfId="394"/>
    <tableColumn id="32" xr3:uid="{E1669848-DE93-4D71-8F1D-57395F140215}" name="Ago." dataDxfId="393"/>
    <tableColumn id="29" xr3:uid="{B492FC38-C8B1-4E7D-92D6-AB08D5B1A9BD}" name="Sept." dataDxfId="392"/>
    <tableColumn id="30" xr3:uid="{797E4C97-0C1A-4584-B52B-AFDC4C15EC8B}" name="Oct." dataDxfId="391"/>
    <tableColumn id="28" xr3:uid="{2A5143A8-97AE-4D25-BEC9-BE777302C760}" name="Nov." dataDxfId="390"/>
    <tableColumn id="39" xr3:uid="{A4037FA2-A9B3-4F78-963D-81FD027E5F60}" name="Dic" dataDxfId="389"/>
    <tableColumn id="40" xr3:uid="{F0D95182-5EF7-4D45-8DCD-7EB405BFB78A}" name="Resultado acumulado " dataDxfId="388">
      <calculatedColumnFormula>SUM(Tabla143[[#This Row],[Enero ]:[Dic]])</calculatedColumnFormula>
    </tableColumn>
    <tableColumn id="27" xr3:uid="{07988645-420F-4E49-BF78-D0F717F629DC}" name="Ejecución_x000a_" dataDxfId="387">
      <calculatedColumnFormula>IFERROR(IF(AO10=0,"",IF((BB10/AO10)&gt;100%,100%,(BB10/AO10))),"")</calculatedColumnFormula>
    </tableColumn>
    <tableColumn id="41" xr3:uid="{021433B1-15DE-4F2D-884B-469D71F79E6E}" name="Avance ponderado de la actividad" dataDxfId="386" dataCellStyle="Porcentaje">
      <calculatedColumnFormula>IFERROR(BC10*#REF!,"")</calculatedColumnFormula>
    </tableColumn>
    <tableColumn id="14" xr3:uid="{791E91E7-4563-4FCE-B709-EF8DDE31A342}" name="Avance ponderado frente a la meta de objetivo" dataDxfId="385" dataCellStyle="Porcentaje">
      <calculatedColumnFormula>Tabla143[[#This Row],[Avance ponderado de la actividad]]*#REF!</calculatedColumnFormula>
    </tableColumn>
    <tableColumn id="45" xr3:uid="{39E2CC37-49D1-4485-A46D-11A31ECE8713}" name="Avance ponderado frente al objetivo    " dataDxfId="384" dataCellStyle="Porcentaje"/>
    <tableColumn id="10" xr3:uid="{4CFD827C-F92C-44E5-8373-DC5493B32C9D}" name="Reporte Oportuno Meta de Objetivo" dataDxfId="383" dataCellStyle="Porcentaje"/>
    <tableColumn id="47" xr3:uid="{BCFA9925-6A7D-444F-A2D4-5942D5DA788E}" name="Reporte Oportuno Actividad" dataDxfId="382" dataCellStyle="Porcentaje"/>
    <tableColumn id="44" xr3:uid="{5D43E29F-056A-4EF5-B193-0077462602A9}" name="Área Organizativa" dataDxfId="381"/>
    <tableColumn id="43" xr3:uid="{0D12B7D6-D6AE-4EF4-8DD1-41FF34C67D80}" name=" Área Responsable de Ejecutar la Actividad" dataDxfId="380"/>
    <tableColumn id="9" xr3:uid="{85E6291A-3E8F-4528-A3CE-051CF6726C57}" name="Cargo del Responsable de Ejecutar la Actividad / Área Organizativa a la que Pertenece el Cargo" dataDxfId="379"/>
    <tableColumn id="13" xr3:uid="{0CE5EC4D-F7E8-4DE6-B3E0-336C795AC6AD}" name="Cargo del Responsable de Documentar la Actividad / Área Organizativa a la que Pertenece el Cargo" dataDxfId="378"/>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B54221-DE88-42F1-B7BF-B989E55D4C6B}" name="Tabla1434" displayName="Tabla1434" ref="A9:BL20" totalsRowCount="1" headerRowDxfId="377" dataDxfId="375" totalsRowDxfId="374" headerRowBorderDxfId="376">
  <tableColumns count="64">
    <tableColumn id="1" xr3:uid="{00EE9E55-A168-4D36-8E74-72E7E73A208F}" name="Lineamientos Estratégicos" dataDxfId="373" totalsRowDxfId="372"/>
    <tableColumn id="3" xr3:uid="{F89E1E23-544F-4877-B56C-C3B232FFEA54}" name="Perspectivas Estratégicas" dataDxfId="371" totalsRowDxfId="370"/>
    <tableColumn id="2" xr3:uid="{46D2A94A-970E-4EB8-A375-E270B78827BC}" name="Objetivos Estratégicos" dataDxfId="369" totalsRowDxfId="368"/>
    <tableColumn id="41" xr3:uid="{5037E3F4-89E1-4276-B9F7-B7F97A5E0B28}" name="Peso Porcentual del Objetivo Estratégico" dataDxfId="367" totalsRowDxfId="366"/>
    <tableColumn id="62" xr3:uid="{9A55141C-64C3-4343-9996-8C7889CBA274}" name="Meta del Objetivo" dataDxfId="365" totalsRowDxfId="364"/>
    <tableColumn id="45" xr3:uid="{5FC7CDBA-D986-4950-9401-0812D9E71344}" name="Peso porcentual de la Meta de Objetivo" dataDxfId="363" totalsRowDxfId="362"/>
    <tableColumn id="49" xr3:uid="{E680B823-B235-48F4-AA57-EBB66FEAE25F}" name="Nombre del Indicador de Gestión" dataDxfId="361" totalsRowDxfId="360"/>
    <tableColumn id="63" xr3:uid="{18947917-EDA8-49A0-9162-16C9573BBED4}" name="Fórmula de Cálculo" dataDxfId="359" totalsRowDxfId="358"/>
    <tableColumn id="60" xr3:uid="{6BE3F5B7-B391-4155-97EC-C070BC35429D}" name="Meta " dataDxfId="357" totalsRowDxfId="356"/>
    <tableColumn id="61" xr3:uid="{949FB102-A39B-4450-9E28-B45D1E4C5050}" name="Unidad de Medida" dataDxfId="355" totalsRowDxfId="354"/>
    <tableColumn id="64" xr3:uid="{00BDB78C-8CCC-4D80-9823-45C68311749D}" name="Entregable" dataDxfId="353" totalsRowDxfId="352"/>
    <tableColumn id="58" xr3:uid="{2336248F-FC6D-489F-9996-2DBBE6F53C18}" name="TRIM I" dataDxfId="351" totalsRowDxfId="350"/>
    <tableColumn id="59" xr3:uid="{5FFF1AFB-1108-45D5-BDC2-4EEE9F3B574B}" name="TRIM II" dataDxfId="349" totalsRowDxfId="348"/>
    <tableColumn id="56" xr3:uid="{04E147BB-BC44-4B5B-917C-5AC3A9569916}" name="TRIM III" dataDxfId="347" totalsRowDxfId="346"/>
    <tableColumn id="57" xr3:uid="{E2BD445F-77EA-4423-9508-2519A0AED981}" name="TRIM IV" dataDxfId="345" totalsRowDxfId="344"/>
    <tableColumn id="54" xr3:uid="{9854DF6A-07D9-4810-A9E4-D2A688BFE42A}" name="TOTAL AÑO" dataDxfId="343" totalsRowDxfId="342">
      <calculatedColumnFormula>SUM(Tabla1434[[#This Row],[TRIM I]:[TRIM IV]])</calculatedColumnFormula>
    </tableColumn>
    <tableColumn id="55" xr3:uid="{47A56F95-A08A-41C1-A80D-476851F769BB}" name="TRIM I    " dataDxfId="341" totalsRowDxfId="340"/>
    <tableColumn id="52" xr3:uid="{C8389BFD-DDDA-4585-99FA-C7EFE66ED10E}" name="TRIM II     " dataDxfId="339" totalsRowDxfId="338"/>
    <tableColumn id="53" xr3:uid="{6C69F981-4BD8-420F-8329-977D18148119}" name="TRIM III    " dataDxfId="337" totalsRowDxfId="336"/>
    <tableColumn id="50" xr3:uid="{E93752D2-D948-46DD-9841-FA123E45898E}" name="TRIM IV    " dataDxfId="335" totalsRowDxfId="334"/>
    <tableColumn id="51" xr3:uid="{B076F128-CCDB-4524-BDBD-8C54239FD53F}" name="Resultado acumulado   " dataDxfId="333" totalsRowDxfId="332"/>
    <tableColumn id="48" xr3:uid="{982C145A-1E1E-4CA2-AD9D-B7A83D76C46A}" name="Ejecución   " dataDxfId="331" totalsRowDxfId="330"/>
    <tableColumn id="16" xr3:uid="{6E6C3572-F44A-4725-B6D8-54EAB9065572}" name="Dimensión MIPG" dataDxfId="329" totalsRowDxfId="328"/>
    <tableColumn id="11" xr3:uid="{20DD722C-2762-4D3E-8A10-82D326335680}" name="Política de Gestión y Desempeño MIPG" dataDxfId="327" totalsRowDxfId="326"/>
    <tableColumn id="15" xr3:uid="{92F52470-A8CD-4748-A696-9EEEAC282999}" name="Componente Plan Anticorrupción y Atención al Ciudadano " dataDxfId="325" totalsRowDxfId="324"/>
    <tableColumn id="4" xr3:uid="{B03CDB9E-34F8-43B2-98B6-816BB0435269}" name="Subcomponente Plan Anticorrupción y Atención al Ciudadano " dataDxfId="323" totalsRowDxfId="322"/>
    <tableColumn id="42" xr3:uid="{60DE16BD-FB0C-4793-BFE6-6F8C1475D9E2}" name="Peso porcentual de la actividad (frente al objetivo)" dataDxfId="321" totalsRowDxfId="320"/>
    <tableColumn id="5" xr3:uid="{D6EECA69-BCDE-4A42-9579-DE783F370D62}" name="Nombre " dataDxfId="319" totalsRowDxfId="318"/>
    <tableColumn id="6" xr3:uid="{A2E29F8B-57A6-4493-AA5B-B20F150D2A92}" name="Descripción" dataDxfId="317" totalsRowDxfId="316"/>
    <tableColumn id="17" xr3:uid="{3BC666B4-DBA9-4895-A5CF-90DA12D67516}" name="Fecha Inicial Planificada" dataDxfId="315" totalsRowDxfId="314"/>
    <tableColumn id="7" xr3:uid="{C489DC5C-D15C-4AC6-920B-48CA037199C7}" name="Fecha final planificada" dataDxfId="313" totalsRowDxfId="312"/>
    <tableColumn id="19" xr3:uid="{6282DA93-E323-4507-BB4B-CF5F70219A42}" name="Nombre del Indicador " dataDxfId="311" totalsRowDxfId="310"/>
    <tableColumn id="18" xr3:uid="{EC523E72-E732-4C2B-AFC5-1CEAD57DEB5B}" name="Fórmula de Cálculo   " dataDxfId="309" totalsRowDxfId="308"/>
    <tableColumn id="21" xr3:uid="{2038ECF3-171C-41FE-B20C-111D6D2C19E1}" name="Meta Anual " dataDxfId="307" totalsRowDxfId="306"/>
    <tableColumn id="20" xr3:uid="{5872F52A-AEA5-4880-9331-CF5AC6AC4EED}" name="Unidad de Medida   " dataDxfId="305" totalsRowDxfId="304"/>
    <tableColumn id="65" xr3:uid="{7D190A98-89BA-4CAE-A1C0-E17344B739B9}" name="Entregable       " dataDxfId="303" totalsRowDxfId="302"/>
    <tableColumn id="25" xr3:uid="{4C9F40BF-0609-4EC0-8995-2F776EB5954C}" name="TRIM I   " dataDxfId="301" totalsRowDxfId="300"/>
    <tableColumn id="24" xr3:uid="{3FA07472-F3B8-4802-B124-C151097B6222}" name="TRIM II   " dataDxfId="299" totalsRowDxfId="298"/>
    <tableColumn id="23" xr3:uid="{1B2A648C-4D8F-4674-A3BD-1E40ADDFC6F5}" name="TRIM III   " dataDxfId="297" totalsRowDxfId="296"/>
    <tableColumn id="26" xr3:uid="{4090F091-4200-45EB-B847-CFDD87B20E1C}" name="TRIM IV     " dataDxfId="295" totalsRowDxfId="294"/>
    <tableColumn id="22" xr3:uid="{6BEF52C4-F8EC-40A0-8879-73CFFDFD15E8}" name="TOTAL AÑO      " dataDxfId="293" totalsRowDxfId="292"/>
    <tableColumn id="37" xr3:uid="{879D210A-59F6-4055-BFAF-34BAC05D09E9}" name="Enero " dataDxfId="291" totalsRowDxfId="290"/>
    <tableColumn id="38" xr3:uid="{23F8E1E8-AAE9-4752-A8CD-B1D2338F94CE}" name="Febrero" dataDxfId="289" totalsRowDxfId="288"/>
    <tableColumn id="35" xr3:uid="{12A7B61A-C68A-49B9-B980-B970177F31A3}" name="Marzo" dataDxfId="287" totalsRowDxfId="286"/>
    <tableColumn id="36" xr3:uid="{A6159FC2-66B8-48DB-A986-F2642C2B1CB2}" name="Abril" dataDxfId="285" totalsRowDxfId="284"/>
    <tableColumn id="33" xr3:uid="{BC336F71-D07E-4C6A-B1C3-E58C2C840847}" name="Mayo" dataDxfId="283" totalsRowDxfId="282"/>
    <tableColumn id="34" xr3:uid="{6FB955E3-A121-4638-B3FD-38E335E30786}" name="Junio" dataDxfId="281" totalsRowDxfId="280"/>
    <tableColumn id="31" xr3:uid="{B8BF6B3C-913C-4A6D-B6FA-A46577CBAAE9}" name="Julio" dataDxfId="279" totalsRowDxfId="278"/>
    <tableColumn id="32" xr3:uid="{3E65BC2E-E23D-461B-8CE2-35343A0E3B67}" name="Ago." dataDxfId="277" totalsRowDxfId="276"/>
    <tableColumn id="29" xr3:uid="{0E7656E1-4307-4633-A16E-4C11436A8F5C}" name="Sept." dataDxfId="275" totalsRowDxfId="274"/>
    <tableColumn id="30" xr3:uid="{0D98FBA9-BC2C-493F-A726-EE178023958D}" name="Oct." dataDxfId="273" totalsRowDxfId="272"/>
    <tableColumn id="28" xr3:uid="{76885231-A962-44B4-9DB8-7C653573563F}" name="Nov." dataDxfId="271" totalsRowDxfId="270"/>
    <tableColumn id="39" xr3:uid="{16A5FE78-C1A3-4EDC-8257-45D81707B20F}" name="Dic" dataDxfId="269" totalsRowDxfId="268"/>
    <tableColumn id="40" xr3:uid="{1896581A-9A2E-4D8E-AB04-AB404D31A56A}" name="Resultado acumulado " dataDxfId="267" totalsRowDxfId="266"/>
    <tableColumn id="27" xr3:uid="{1C27F961-D77A-44A7-BABC-14EA2768059D}" name="Ejecución_x000a_" dataDxfId="265" totalsRowDxfId="264"/>
    <tableColumn id="14" xr3:uid="{91D3F847-D8F2-4824-A530-3688E60765BD}" name="Avance ponderado de la actividad" totalsRowFunction="custom" dataDxfId="263" totalsRowDxfId="262" dataCellStyle="Porcentaje">
      <calculatedColumnFormula>IFERROR(BC10*AA10,"")</calculatedColumnFormula>
      <totalsRowFormula>BD16+BD15+BD14+BD13+BD12+BD11+BD10</totalsRowFormula>
    </tableColumn>
    <tableColumn id="12" xr3:uid="{FAACB425-50D1-44E2-BD93-7BFB3DE214F8}" name="Avance ponderado frente a la meta de objetivo" dataDxfId="261" totalsRowDxfId="260" dataCellStyle="Porcentaje"/>
    <tableColumn id="47" xr3:uid="{457D9E66-A1AE-4904-A7C1-50CA31A7F0C6}" name="Avance ponderado frente al objetivo    " dataDxfId="259" totalsRowDxfId="258" dataCellStyle="Porcentaje"/>
    <tableColumn id="46" xr3:uid="{1227418A-2DE4-4700-9D3A-16707BA6E819}" name="Reporte Oportuno Meta de Objetivo" dataDxfId="257" totalsRowDxfId="256" dataCellStyle="Porcentaje"/>
    <tableColumn id="10" xr3:uid="{B247A06E-D309-452A-87B7-8D787552EF39}" name="Reporte Oportuno Actividad" dataDxfId="255" totalsRowDxfId="254" dataCellStyle="Porcentaje"/>
    <tableColumn id="44" xr3:uid="{309B64AC-6CF5-4ACB-9ED8-D2D31E27D6A8}" name="Área Organizativa" dataDxfId="253" totalsRowDxfId="252"/>
    <tableColumn id="43" xr3:uid="{77CB3949-7F12-4A5B-94CC-20D50B44E592}" name=" Área Responsable de Ejecutar la Actividad" dataDxfId="251" totalsRowDxfId="250"/>
    <tableColumn id="9" xr3:uid="{D1C784D1-0CD1-4740-BFBE-3333D0A459F1}" name="Cargo del Responsable de Ejecutar la Actividad / Área Organizativa a la que Pertenece el Cargo" dataDxfId="249" totalsRowDxfId="248"/>
    <tableColumn id="13" xr3:uid="{271ACFA3-757D-4858-840D-871B8F64BFA7}" name="Cargo del Responsable de Documentar la Actividad / Área Organizativa a la que Pertenece el Cargo" dataDxfId="247" totalsRowDxfId="24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1D74AC-3853-4422-8F13-D959E7D9A75A}" name="Tabla14342" displayName="Tabla14342" ref="A5:BH25" totalsRowShown="0" headerRowDxfId="245" totalsRowDxfId="243" headerRowBorderDxfId="244">
  <tableColumns count="60">
    <tableColumn id="1" xr3:uid="{082D0E85-D63B-4C16-93FB-CE2FACDB5C2F}" name="Lineamientos Estratégicos" dataDxfId="242" totalsRowDxfId="241"/>
    <tableColumn id="3" xr3:uid="{98FCF712-78CC-4B4A-B8C6-2220B37DE59C}" name="Perspectivas Estratégicas" dataDxfId="240" totalsRowDxfId="239"/>
    <tableColumn id="2" xr3:uid="{B8627901-8CB0-407E-9041-8EEA4795A45D}" name="Objetivos Estratégicos" dataDxfId="238" totalsRowDxfId="237"/>
    <tableColumn id="41" xr3:uid="{D44B9518-E5FE-451B-9DB2-0A71A112F6D3}" name="Peso Porcentual del Objetivo" dataDxfId="236" totalsRowDxfId="235"/>
    <tableColumn id="62" xr3:uid="{A48933C4-A789-4938-BC71-467874C49AD9}" name="Meta del Objetivo" dataDxfId="234" totalsRowDxfId="233"/>
    <tableColumn id="45" xr3:uid="{D80A6C12-4D78-4BB9-AD3B-9220739EF6ED}" name="Peso porcentual de la Meta de Objetivo" dataDxfId="232" totalsRowDxfId="231"/>
    <tableColumn id="14" xr3:uid="{53EC5D72-9FFB-4E45-B5E3-230B897BE58E}" name="Nombre del Indicador de Gestión" dataDxfId="230" totalsRowDxfId="229"/>
    <tableColumn id="63" xr3:uid="{00FB9B4D-B722-4D22-9F77-9667BB2F1D17}" name="Fórmula de Cálculo" dataDxfId="228" totalsRowDxfId="227"/>
    <tableColumn id="60" xr3:uid="{EC0D5E1D-AD48-472A-A485-233220448144}" name="Meta " dataDxfId="226" totalsRowDxfId="225"/>
    <tableColumn id="61" xr3:uid="{E758C551-AA0D-40F5-A136-CBEC7814FB49}" name="Unidad de Medida" dataDxfId="224" totalsRowDxfId="223"/>
    <tableColumn id="8" xr3:uid="{BE88D42D-8752-43F2-8808-AEAC6E25D365}" name="Entregable" dataDxfId="222" totalsRowDxfId="221"/>
    <tableColumn id="58" xr3:uid="{9BB12154-C2AC-48B1-B1EB-EC7785EAD927}" name="TRIM I" dataDxfId="220" totalsRowDxfId="219"/>
    <tableColumn id="59" xr3:uid="{938A8EFD-38C1-46C5-B38B-0FE27BD8F788}" name="TRIM II" dataDxfId="218" totalsRowDxfId="217"/>
    <tableColumn id="56" xr3:uid="{76EE686E-C4C7-410A-9418-C60A44F7F7A1}" name="TRIM III" dataDxfId="216" totalsRowDxfId="215"/>
    <tableColumn id="57" xr3:uid="{19A04D8D-6075-4919-A0C5-6B50803B3CEA}" name="TRIM IV" dataDxfId="214" totalsRowDxfId="213"/>
    <tableColumn id="54" xr3:uid="{B468B233-4E26-49FA-AFB7-8496C32F949B}" name="TOTAL AÑO" dataDxfId="212" totalsRowDxfId="211"/>
    <tableColumn id="55" xr3:uid="{A30A0894-0A82-44A2-AB16-5FC0DD685061}" name="TRIM I    " dataDxfId="210" totalsRowDxfId="209"/>
    <tableColumn id="52" xr3:uid="{51355FE9-D76F-4073-9374-777809B4180A}" name="TRIM II     " dataDxfId="208" totalsRowDxfId="207"/>
    <tableColumn id="53" xr3:uid="{6E6096C9-FCAB-453E-BE31-5CF4CA55244C}" name="TRIM III    " dataDxfId="206" totalsRowDxfId="205"/>
    <tableColumn id="50" xr3:uid="{0EF95544-9DAF-4416-9346-2788B6C462D1}" name="TRIM IV    " dataDxfId="204" totalsRowDxfId="203"/>
    <tableColumn id="51" xr3:uid="{9B8D7E12-3272-4B16-A13A-95112EEDECE0}" name="Resultado acumulado   " dataDxfId="202" totalsRowDxfId="201"/>
    <tableColumn id="48" xr3:uid="{A6804018-9CAC-42F6-A411-8DD0E9E09973}" name="Ejecución   " dataDxfId="200" totalsRowDxfId="199"/>
    <tableColumn id="16" xr3:uid="{363CA97E-3F0D-4046-8F5A-71A078EAAD24}" name="Dimensión MIPG" dataDxfId="198" totalsRowDxfId="197"/>
    <tableColumn id="11" xr3:uid="{61FED814-A4EA-4705-B7AA-30FF709D66DC}" name="Política de Gestión y Desempeño MIPG" dataDxfId="196" totalsRowDxfId="195"/>
    <tableColumn id="15" xr3:uid="{8F8B89F6-AC16-48B1-93D0-9E674A7264F4}" name="Componente Plan Anticorrupción y Atención al Ciudadano " dataDxfId="194" totalsRowDxfId="193"/>
    <tableColumn id="4" xr3:uid="{8FE65DF9-E3F0-4598-BF29-6BA190271C76}" name="Subcomponente Plan Anticorrupción y Atención al Ciudadano " dataDxfId="192" totalsRowDxfId="191"/>
    <tableColumn id="42" xr3:uid="{2648CB7B-9C3A-494E-A915-C04FB7ECF7BD}" name="Peso porcentual de la actividad (frente al objetivo)" dataDxfId="190" totalsRowDxfId="189"/>
    <tableColumn id="5" xr3:uid="{B69A8549-8F95-4348-9C20-87FE8F59DC52}" name="Nombre " dataDxfId="188" totalsRowDxfId="187"/>
    <tableColumn id="6" xr3:uid="{4CFF6AFD-7340-48A6-AC9E-E7AA1D776758}" name="Descripción" dataDxfId="186" totalsRowDxfId="185"/>
    <tableColumn id="17" xr3:uid="{F96D66C5-36A7-4D55-8031-7AF82B93DE31}" name="Fecha Inicial Planificada" dataDxfId="184" totalsRowDxfId="183"/>
    <tableColumn id="7" xr3:uid="{50CE495E-6513-4B68-AA2A-770B88A86E1B}" name="Fecha final planificada" dataDxfId="182" totalsRowDxfId="181"/>
    <tableColumn id="19" xr3:uid="{04355BB9-F76B-4EDF-987D-B9DBC61DAF46}" name="Nombre del Indicador de Gestión                       " dataDxfId="180" totalsRowDxfId="179"/>
    <tableColumn id="18" xr3:uid="{87872342-4B13-4F41-9057-A40A9F8B371C}" name="Fórmula de Cálculo   " dataDxfId="178" totalsRowDxfId="177"/>
    <tableColumn id="21" xr3:uid="{34A825D8-48C3-496B-9F2C-11E5272635C5}" name="Meta Anual " dataDxfId="176" totalsRowDxfId="175"/>
    <tableColumn id="20" xr3:uid="{96B5C052-6176-4053-9FB9-65744F2FB378}" name="Unidad de Medida   " dataDxfId="174" totalsRowDxfId="173"/>
    <tableColumn id="12" xr3:uid="{DE91CB0F-C065-4DD8-96D7-9605FA367A45}" name="Entregable       " dataDxfId="172" totalsRowDxfId="171"/>
    <tableColumn id="25" xr3:uid="{C352772B-A1E9-47A9-ACE7-3F2BDBA0BDAE}" name="TRIM I   " dataDxfId="170" totalsRowDxfId="169"/>
    <tableColumn id="24" xr3:uid="{905C561F-C6EE-4CE6-80F7-EF111BDE6039}" name="TRIM II   " dataDxfId="168" totalsRowDxfId="167"/>
    <tableColumn id="23" xr3:uid="{0FFC9178-24BD-4BB4-A891-AB0B55495309}" name="TRIM III   " dataDxfId="166" totalsRowDxfId="165"/>
    <tableColumn id="26" xr3:uid="{6B973CB1-4FF3-439C-BD46-0983B6FEF579}" name="TRIM IV     " dataDxfId="164" totalsRowDxfId="163"/>
    <tableColumn id="22" xr3:uid="{4995E07A-C49F-47B8-9272-BC1743EACCDB}" name="TOTAL AÑO      " dataDxfId="162" totalsRowDxfId="161"/>
    <tableColumn id="37" xr3:uid="{059957FD-18E9-41C2-8ED3-F4A024056DA9}" name="Enero " dataDxfId="160" totalsRowDxfId="159"/>
    <tableColumn id="38" xr3:uid="{7140903E-4594-4C40-BF6B-DC4001846F23}" name="Febrero" dataDxfId="158" totalsRowDxfId="157"/>
    <tableColumn id="35" xr3:uid="{F8FB7C97-A651-420A-8083-5E19A7FD9F86}" name="Marzo" dataDxfId="156" totalsRowDxfId="155"/>
    <tableColumn id="36" xr3:uid="{8843CF7A-0300-4C77-85C0-21F0CE21172D}" name="Abril" dataDxfId="154" totalsRowDxfId="153"/>
    <tableColumn id="33" xr3:uid="{08928217-6550-4D29-B428-A1E8D1ACACD5}" name="Mayo" dataDxfId="152" totalsRowDxfId="151"/>
    <tableColumn id="34" xr3:uid="{65F56909-4717-4627-ADBF-FF5CB6C7AE62}" name="Junio" dataDxfId="150" totalsRowDxfId="149"/>
    <tableColumn id="31" xr3:uid="{AB997566-403D-4846-ACB8-6E27872EFD8E}" name="Julio" dataDxfId="148" totalsRowDxfId="147"/>
    <tableColumn id="32" xr3:uid="{12074770-5772-4F44-92B7-50EF331DD131}" name="Ago." dataDxfId="146" totalsRowDxfId="145"/>
    <tableColumn id="29" xr3:uid="{D6BAB031-F032-47AA-AEC9-339EBFE3989F}" name="Sept." dataDxfId="144" totalsRowDxfId="143"/>
    <tableColumn id="30" xr3:uid="{7834530E-22B9-4074-A750-E42CB65B4942}" name="Oct." dataDxfId="142" totalsRowDxfId="141"/>
    <tableColumn id="28" xr3:uid="{68949593-890B-4800-B35C-0FD78A1DF274}" name="Nov." dataDxfId="140" totalsRowDxfId="139"/>
    <tableColumn id="39" xr3:uid="{DDE3D912-7279-465A-A67E-C805E61C6817}" name="Dic" dataDxfId="138" totalsRowDxfId="137"/>
    <tableColumn id="40" xr3:uid="{6BB8BEAF-B389-4D8E-B385-F1EED5080791}" name="Resultado acumulado " dataDxfId="136" totalsRowDxfId="135"/>
    <tableColumn id="27" xr3:uid="{0569CD66-9527-4450-BF3A-FEAF4537443A}" name="Ejecución_x000a_" dataDxfId="134" totalsRowDxfId="133" dataCellStyle="Porcentaje"/>
    <tableColumn id="10" xr3:uid="{1DA7FEB4-697C-4C9F-8FC8-FBC3C11263F9}" name="Reporte Oportuno" dataDxfId="132" totalsRowDxfId="131" dataCellStyle="Porcentaje"/>
    <tableColumn id="44" xr3:uid="{28D8E604-6FC9-4B2C-B098-777E06AEA2F7}" name="Área Organizativa" dataDxfId="130" totalsRowDxfId="129"/>
    <tableColumn id="43" xr3:uid="{37FB39F4-61F0-4BAE-AF18-CD845BE78A72}" name=" Área Responsable de Ejecutar la Actividad" dataDxfId="128" totalsRowDxfId="127"/>
    <tableColumn id="9" xr3:uid="{B1702B43-60EC-49F6-91C1-B8C85EDB10D6}" name="Cargo del Responsable de Ejecutar la Actividad / Área Organizativa a la que Pertenece el Cargo" dataDxfId="126" totalsRowDxfId="125"/>
    <tableColumn id="13" xr3:uid="{92327DEF-4114-452C-BD6E-542ECF7EB774}" name="Cargo del Responsable de Documentar la Actividad / Área Organizativa a la que Pertenece el Cargo" dataDxfId="124" totalsRowDxfId="123"/>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F4BF202-BF67-4553-8B82-8C64D70FC43D}" name="Tabla14346" displayName="Tabla14346" ref="A5:BH92" totalsRowShown="0" headerRowDxfId="122" totalsRowDxfId="120" headerRowBorderDxfId="121">
  <tableColumns count="60">
    <tableColumn id="1" xr3:uid="{72176E5D-5CF5-4DA2-9497-C9B9498D8AB1}" name="Lineamientos Estratégicos" dataDxfId="119" totalsRowDxfId="118"/>
    <tableColumn id="3" xr3:uid="{90391131-AD5E-4584-B0BD-173C80BA9F1C}" name="Perspectivas Estratégicas" dataDxfId="117" totalsRowDxfId="116"/>
    <tableColumn id="2" xr3:uid="{4D0D00DC-B51C-439F-BC2E-7FE252622F61}" name="Objetivos Estratégicos" dataDxfId="115" totalsRowDxfId="114"/>
    <tableColumn id="41" xr3:uid="{11AD6C8A-7B82-496D-82B7-ABD0C4236583}" name="Peso Porcentual del Objetivo" dataDxfId="113" totalsRowDxfId="112"/>
    <tableColumn id="62" xr3:uid="{4F172889-8BCA-4B3F-9A75-6F7ED4BD4F07}" name="Meta del Objetivo" dataDxfId="111" totalsRowDxfId="110"/>
    <tableColumn id="45" xr3:uid="{BED91FC0-34CB-433D-BD00-6F12AAC16E78}" name="Peso porcentual de la Meta de Objetivo" dataDxfId="109" totalsRowDxfId="108"/>
    <tableColumn id="14" xr3:uid="{2E3F2315-9DC4-4384-9968-B6E7AE3F5337}" name="Nombre del Indicador de Gestión" dataDxfId="107" totalsRowDxfId="106"/>
    <tableColumn id="63" xr3:uid="{C0F2D16B-0CE5-4F21-8099-5864633BE3C3}" name="Fórmula de Cálculo" dataDxfId="105" totalsRowDxfId="104"/>
    <tableColumn id="60" xr3:uid="{9B4AE6A7-D4D0-401D-8B58-73A4A8549F26}" name="Meta " dataDxfId="103" totalsRowDxfId="102"/>
    <tableColumn id="61" xr3:uid="{19775E52-274B-474A-BA5E-BCCAD0B18760}" name="Unidad de Medida" dataDxfId="101" totalsRowDxfId="100"/>
    <tableColumn id="8" xr3:uid="{4134059D-6DA4-4532-95DA-5E7B4DAE6CE7}" name="Entregable" dataDxfId="99" totalsRowDxfId="98"/>
    <tableColumn id="58" xr3:uid="{96BFD863-65E8-45C3-BE38-375180B7F76F}" name="TRIM I" dataDxfId="97" totalsRowDxfId="96"/>
    <tableColumn id="59" xr3:uid="{3C9DB44C-7A1E-490D-A5BF-8D294EC25DAF}" name="TRIM II" dataDxfId="95" totalsRowDxfId="94"/>
    <tableColumn id="56" xr3:uid="{B1EC477F-2602-4266-A8C6-8CB86D6AE47F}" name="TRIM III" dataDxfId="93" totalsRowDxfId="92"/>
    <tableColumn id="57" xr3:uid="{F2CEF2E7-8687-4D69-B394-E20AB59F9D0C}" name="TRIM IV" dataDxfId="91" totalsRowDxfId="90"/>
    <tableColumn id="54" xr3:uid="{3285189F-217C-40AE-9F6B-A0BEDAD6B40D}" name="TOTAL AÑO" dataDxfId="89" totalsRowDxfId="88"/>
    <tableColumn id="55" xr3:uid="{BE87DA71-D140-41C9-8DF9-BC47F60D3B6C}" name="TRIM I    " dataDxfId="87" totalsRowDxfId="86"/>
    <tableColumn id="52" xr3:uid="{8C200CE8-D6FD-4D6D-889E-9705BE6AC503}" name="TRIM II     " dataDxfId="85" totalsRowDxfId="84"/>
    <tableColumn id="53" xr3:uid="{4D85C52C-6FA1-44F0-8EAD-8F7E6105888D}" name="TRIM III    " dataDxfId="83" totalsRowDxfId="82"/>
    <tableColumn id="50" xr3:uid="{F86DC04D-0FC1-4B91-AFAD-02C9583A93E9}" name="TRIM IV    " dataDxfId="81" totalsRowDxfId="80"/>
    <tableColumn id="51" xr3:uid="{05E2C92F-742C-4983-BD20-5C92DE5B1023}" name="Resultado acumulado   " dataDxfId="79" totalsRowDxfId="78"/>
    <tableColumn id="48" xr3:uid="{080DC1D5-60A2-4855-BA46-3CFE37B37380}" name="Ejecución   " dataDxfId="77" totalsRowDxfId="76"/>
    <tableColumn id="16" xr3:uid="{925A341B-3B1A-462C-BC35-7AF8F0964B93}" name="Dimensión MIPG" dataDxfId="75" totalsRowDxfId="74"/>
    <tableColumn id="11" xr3:uid="{F8741A37-9467-412C-922B-7087DCD45E97}" name="Política de Gestión y Desempeño MIPG" dataDxfId="73" totalsRowDxfId="72"/>
    <tableColumn id="15" xr3:uid="{657EFE70-D8D0-4B59-8556-CEFF931C45A7}" name="Componente Plan Anticorrupción y Atención al Ciudadano " dataDxfId="71" totalsRowDxfId="70"/>
    <tableColumn id="4" xr3:uid="{6F594035-52FB-4DDB-AA50-7D9B96EF5DFD}" name="Subcomponente Plan Anticorrupción y Atención al Ciudadano " dataDxfId="69" totalsRowDxfId="68"/>
    <tableColumn id="42" xr3:uid="{96C5271E-38BF-45B4-A1A4-C7595509EA39}" name="Peso porcentual de la actividad (frente al objetivo)" dataDxfId="67" totalsRowDxfId="66"/>
    <tableColumn id="5" xr3:uid="{E8026210-877C-4FCA-B9BF-F13A9E0B15A7}" name="Nombre " dataDxfId="65" totalsRowDxfId="64"/>
    <tableColumn id="6" xr3:uid="{5095BAE6-64C4-4B22-B5E6-857A87019524}" name="Descripción" dataDxfId="63" totalsRowDxfId="62"/>
    <tableColumn id="17" xr3:uid="{165AF006-311C-49DB-BBE9-6E8868EEDC76}" name="Fecha Inicial Planificada" dataDxfId="61" totalsRowDxfId="60"/>
    <tableColumn id="7" xr3:uid="{C02BA0FB-CD16-4EB7-982B-F41031ACDBA8}" name="Fecha final planificada" dataDxfId="59" totalsRowDxfId="58"/>
    <tableColumn id="19" xr3:uid="{9823F12E-ECD5-41DE-861F-FCDBD9368F53}" name="Nombre del Indicador de Gestión                       " dataDxfId="57" totalsRowDxfId="56"/>
    <tableColumn id="18" xr3:uid="{2A0E2281-10B0-4A15-BDE5-CAF3F1F79944}" name="Fórmula de Cálculo   " dataDxfId="55" totalsRowDxfId="54"/>
    <tableColumn id="21" xr3:uid="{652D7DC4-BA68-44B0-A2D7-83CAAAC6A895}" name="Meta Anual " dataDxfId="53" totalsRowDxfId="52"/>
    <tableColumn id="20" xr3:uid="{8C671679-BE93-40BD-AF1C-21C31C4CF384}" name="Unidad de Medida   " dataDxfId="51" totalsRowDxfId="50"/>
    <tableColumn id="12" xr3:uid="{F0EF0E9B-E39D-47AB-AB3B-EFEDFAD36C08}" name="Entregable       " dataDxfId="49" totalsRowDxfId="48"/>
    <tableColumn id="25" xr3:uid="{3C443D69-BAEA-4B98-A36C-601529AEC9C9}" name="TRIM I   " dataDxfId="47" totalsRowDxfId="46"/>
    <tableColumn id="24" xr3:uid="{264D07DD-D209-4527-A0E6-977078DF8F9A}" name="TRIM II   " dataDxfId="45" totalsRowDxfId="44"/>
    <tableColumn id="23" xr3:uid="{7054BF02-FCEF-4C5C-9A2B-AE6C0886C147}" name="TRIM III   " dataDxfId="43" totalsRowDxfId="42"/>
    <tableColumn id="26" xr3:uid="{E7AFD73C-6066-4227-ABCB-A98117036407}" name="TRIM IV     " dataDxfId="41" totalsRowDxfId="40"/>
    <tableColumn id="22" xr3:uid="{5B77A535-4D94-4673-8BC0-30D7B608E05E}" name="TOTAL AÑO      " dataDxfId="39" totalsRowDxfId="38"/>
    <tableColumn id="37" xr3:uid="{8D2B94CC-A900-4E0E-B209-B7D2CDBED0CD}" name="Enero " dataDxfId="37" totalsRowDxfId="36"/>
    <tableColumn id="38" xr3:uid="{FD3FCEEA-5CAE-447C-83FA-9328E83D5717}" name="Febrero" dataDxfId="35" totalsRowDxfId="34"/>
    <tableColumn id="35" xr3:uid="{40149097-8CB3-476F-A30D-D777AAECC422}" name="Marzo" dataDxfId="33" totalsRowDxfId="32"/>
    <tableColumn id="36" xr3:uid="{35B081F5-7326-4E4B-8215-51047330E348}" name="Abril" dataDxfId="31" totalsRowDxfId="30"/>
    <tableColumn id="33" xr3:uid="{629F65C8-4B77-40FB-8F1D-B26FD9F7831F}" name="Mayo" dataDxfId="29" totalsRowDxfId="28"/>
    <tableColumn id="34" xr3:uid="{6B02F7CA-D495-427D-84CE-8153B1206098}" name="Junio" dataDxfId="27" totalsRowDxfId="26"/>
    <tableColumn id="31" xr3:uid="{070CC58A-334C-4C2D-9D02-CF0C90A91961}" name="Julio" dataDxfId="25" totalsRowDxfId="24"/>
    <tableColumn id="32" xr3:uid="{47276A23-7A38-450E-9280-8740706824C5}" name="Ago." dataDxfId="23" totalsRowDxfId="22"/>
    <tableColumn id="29" xr3:uid="{CCF2BC29-7DE7-44FF-911D-A3C6C51333F0}" name="Sept." dataDxfId="21" totalsRowDxfId="20"/>
    <tableColumn id="30" xr3:uid="{2879269B-92F8-41DD-B276-3810F73C4226}" name="Oct." dataDxfId="19" totalsRowDxfId="18"/>
    <tableColumn id="28" xr3:uid="{A656DB3F-3384-4504-B0E5-0F425B719914}" name="Nov." dataDxfId="17" totalsRowDxfId="16"/>
    <tableColumn id="39" xr3:uid="{4DCA2E1F-8400-4EBB-9F12-8BB785D4984C}" name="Dic" dataDxfId="15" totalsRowDxfId="14"/>
    <tableColumn id="40" xr3:uid="{89BFC218-5A66-4EEA-8075-9ACC03AB2212}" name="Resultado acumulado " dataDxfId="13" totalsRowDxfId="12"/>
    <tableColumn id="27" xr3:uid="{C91646E0-C437-464D-A48B-E4B9165AF58D}" name="Ejecución_x000a_" dataDxfId="11" totalsRowDxfId="10" dataCellStyle="Porcentaje"/>
    <tableColumn id="10" xr3:uid="{10BA8823-3D98-43D2-AAD0-319653EF05C1}" name="Reporte Oportuno" dataDxfId="9" totalsRowDxfId="8" dataCellStyle="Porcentaje"/>
    <tableColumn id="44" xr3:uid="{8A380C3E-A895-4E86-9537-CF82142B969A}" name="Área Organizativa" dataDxfId="7" totalsRowDxfId="6"/>
    <tableColumn id="43" xr3:uid="{1EBDB4EE-2BB5-4A06-A046-BF51F7933624}" name=" Área Responsable de Ejecutar la Actividad" dataDxfId="5" totalsRowDxfId="4"/>
    <tableColumn id="9" xr3:uid="{6C97F787-62D0-4913-86DA-F0190206DE44}" name="Cargo del Responsable de Ejecutar la Actividad / Área Organizativa a la que Pertenece el Cargo" dataDxfId="3" totalsRowDxfId="2"/>
    <tableColumn id="13" xr3:uid="{2F37F851-A88E-4C73-9307-136ADAE27354}" name="Cargo del Responsable de Documentar la Actividad / Área Organizativa a la que Pertenece el Cargo" dataDxfId="1" totalsRow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1D24-AA10-4854-867E-0778A471292C}">
  <sheetPr>
    <tabColor rgb="FF2C6B81"/>
  </sheetPr>
  <dimension ref="A1:XFC72"/>
  <sheetViews>
    <sheetView tabSelected="1" zoomScale="70" zoomScaleNormal="70" workbookViewId="0">
      <selection activeCell="D61" sqref="D61"/>
    </sheetView>
  </sheetViews>
  <sheetFormatPr baseColWidth="10" defaultColWidth="0" defaultRowHeight="14.5" customHeight="1" zeroHeight="1" x14ac:dyDescent="0.35"/>
  <cols>
    <col min="1" max="15" width="11.453125" style="3" customWidth="1"/>
    <col min="16" max="16383" width="11.453125" style="3" hidden="1"/>
    <col min="16384" max="16384" width="8.453125" style="3" customWidth="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1:15" x14ac:dyDescent="0.35"/>
    <row r="34" spans="1:15" x14ac:dyDescent="0.35"/>
    <row r="35" spans="1:15" x14ac:dyDescent="0.35"/>
    <row r="36" spans="1:15" x14ac:dyDescent="0.35"/>
    <row r="37" spans="1:15" x14ac:dyDescent="0.35"/>
    <row r="38" spans="1:15" x14ac:dyDescent="0.35"/>
    <row r="39" spans="1:15" x14ac:dyDescent="0.35"/>
    <row r="40" spans="1:15" x14ac:dyDescent="0.35"/>
    <row r="41" spans="1:15" x14ac:dyDescent="0.35"/>
    <row r="42" spans="1:15" x14ac:dyDescent="0.35">
      <c r="A42" s="10"/>
      <c r="B42" s="10"/>
      <c r="C42" s="10"/>
      <c r="D42" s="10"/>
      <c r="E42" s="10"/>
      <c r="F42" s="10"/>
      <c r="G42" s="10"/>
      <c r="H42" s="10"/>
      <c r="I42" s="10"/>
      <c r="J42" s="10"/>
      <c r="K42" s="10"/>
    </row>
    <row r="43" spans="1:15" x14ac:dyDescent="0.35">
      <c r="A43" s="10"/>
      <c r="B43" s="10"/>
      <c r="C43" s="10"/>
      <c r="D43" s="10"/>
      <c r="E43" s="10"/>
      <c r="F43" s="10"/>
      <c r="G43" s="10"/>
      <c r="H43" s="10"/>
      <c r="I43" s="10"/>
      <c r="J43" s="10"/>
      <c r="K43" s="10"/>
    </row>
    <row r="44" spans="1:15" x14ac:dyDescent="0.35"/>
    <row r="45" spans="1:15" x14ac:dyDescent="0.35"/>
    <row r="46" spans="1:15" x14ac:dyDescent="0.35"/>
    <row r="47" spans="1:15" x14ac:dyDescent="0.35"/>
    <row r="48" spans="1:15" ht="11.25" customHeight="1" x14ac:dyDescent="0.65">
      <c r="A48" s="11"/>
      <c r="B48" s="11"/>
      <c r="C48" s="11"/>
      <c r="D48" s="11"/>
      <c r="E48" s="11"/>
      <c r="F48" s="11"/>
      <c r="G48" s="11"/>
      <c r="H48" s="11"/>
      <c r="I48" s="11"/>
      <c r="J48" s="11"/>
      <c r="K48" s="11"/>
      <c r="L48" s="11"/>
      <c r="M48" s="11"/>
      <c r="N48" s="11"/>
      <c r="O48" s="11"/>
    </row>
    <row r="49" spans="2:4" x14ac:dyDescent="0.35"/>
    <row r="50" spans="2:4" x14ac:dyDescent="0.35"/>
    <row r="51" spans="2:4" x14ac:dyDescent="0.35"/>
    <row r="52" spans="2:4" x14ac:dyDescent="0.35">
      <c r="B52" s="3" t="s">
        <v>520</v>
      </c>
      <c r="D52" s="3" t="s">
        <v>459</v>
      </c>
    </row>
    <row r="53" spans="2:4" x14ac:dyDescent="0.35">
      <c r="B53" s="3" t="s">
        <v>847</v>
      </c>
      <c r="D53" s="306" t="s">
        <v>848</v>
      </c>
    </row>
    <row r="54" spans="2:4" x14ac:dyDescent="0.35">
      <c r="B54" s="3" t="s">
        <v>521</v>
      </c>
      <c r="D54" s="3" t="s">
        <v>456</v>
      </c>
    </row>
    <row r="55" spans="2:4" x14ac:dyDescent="0.35">
      <c r="B55" s="3" t="s">
        <v>522</v>
      </c>
      <c r="D55" s="3" t="s">
        <v>457</v>
      </c>
    </row>
    <row r="56" spans="2:4" x14ac:dyDescent="0.35">
      <c r="B56" s="3" t="s">
        <v>523</v>
      </c>
      <c r="D56" s="3" t="s">
        <v>458</v>
      </c>
    </row>
    <row r="57" spans="2:4" x14ac:dyDescent="0.35"/>
    <row r="58" spans="2:4" x14ac:dyDescent="0.35"/>
    <row r="59" spans="2:4" ht="14.5" customHeight="1" x14ac:dyDescent="0.35"/>
    <row r="60" spans="2:4" ht="14.5" customHeight="1" x14ac:dyDescent="0.35"/>
    <row r="61" spans="2:4" ht="14.5" customHeight="1" x14ac:dyDescent="0.35"/>
    <row r="62" spans="2:4" ht="14.5" customHeight="1" x14ac:dyDescent="0.35"/>
    <row r="63" spans="2:4" ht="14.5" customHeight="1" x14ac:dyDescent="0.35"/>
    <row r="64" spans="2: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sheetData>
  <sheetProtection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0B6C-8668-4F7F-B565-C8914F3A3A73}">
  <dimension ref="A1:BL60"/>
  <sheetViews>
    <sheetView showGridLines="0" topLeftCell="A44" zoomScale="67" zoomScaleNormal="67" workbookViewId="0">
      <selection activeCell="BJ8" sqref="BJ8"/>
    </sheetView>
  </sheetViews>
  <sheetFormatPr baseColWidth="10" defaultRowHeight="14.5" x14ac:dyDescent="0.35"/>
  <cols>
    <col min="1" max="1" width="41.54296875" style="5" customWidth="1"/>
    <col min="2" max="2" width="40.1796875" style="5" customWidth="1"/>
    <col min="3" max="3" width="44.54296875" style="6" customWidth="1"/>
    <col min="4" max="4" width="44.54296875" style="7" customWidth="1"/>
    <col min="5" max="5" width="44.54296875" style="6" customWidth="1"/>
    <col min="6" max="7" width="44.54296875" style="6" hidden="1" customWidth="1"/>
    <col min="8" max="10" width="44.54296875" style="7" customWidth="1"/>
    <col min="11" max="11" width="44.54296875" style="7" hidden="1" customWidth="1"/>
    <col min="12" max="16" width="11.7265625" style="7" customWidth="1"/>
    <col min="17" max="20" width="11.7265625" style="1" hidden="1" customWidth="1"/>
    <col min="21" max="22" width="22.1796875" style="1" hidden="1" customWidth="1"/>
    <col min="23" max="26" width="40.54296875" style="7" customWidth="1"/>
    <col min="27" max="27" width="35.7265625" style="7" customWidth="1"/>
    <col min="28" max="28" width="44.54296875" style="6" customWidth="1"/>
    <col min="29" max="29" width="44.54296875" style="5" customWidth="1"/>
    <col min="30" max="30" width="23" style="4" hidden="1" customWidth="1"/>
    <col min="31" max="31" width="23.1796875" style="4" hidden="1" customWidth="1"/>
    <col min="32" max="32" width="27.54296875" style="5" hidden="1" customWidth="1"/>
    <col min="33" max="34" width="27.54296875" style="4" customWidth="1"/>
    <col min="35" max="36" width="27.54296875" style="4" hidden="1"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14" t="s">
        <v>460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row>
    <row r="2" spans="1:64" ht="26.15" customHeight="1" x14ac:dyDescent="0.35">
      <c r="C2" s="5"/>
      <c r="D2" s="4"/>
      <c r="E2" s="5"/>
      <c r="F2" s="5"/>
      <c r="G2" s="5"/>
      <c r="H2" s="4"/>
      <c r="I2" s="4"/>
      <c r="J2" s="4"/>
      <c r="K2" s="4"/>
      <c r="L2" s="4"/>
      <c r="M2" s="4"/>
      <c r="N2" s="4"/>
      <c r="O2" s="4"/>
      <c r="P2" s="4"/>
      <c r="Q2"/>
      <c r="R2"/>
      <c r="S2"/>
      <c r="T2"/>
      <c r="U2"/>
      <c r="V2"/>
      <c r="W2" s="4"/>
      <c r="X2" s="4"/>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61.5" hidden="1" x14ac:dyDescent="0.35">
      <c r="A3" s="106" t="s">
        <v>536</v>
      </c>
      <c r="B3" s="107">
        <f>+BG51</f>
        <v>0.98290322580645151</v>
      </c>
      <c r="C3" s="5"/>
      <c r="D3" s="4"/>
      <c r="E3" s="5"/>
      <c r="F3" s="5"/>
      <c r="G3" s="5"/>
      <c r="H3" s="4"/>
      <c r="I3" s="4"/>
      <c r="J3" s="4"/>
      <c r="K3" s="4"/>
      <c r="L3" s="4"/>
      <c r="M3" s="4"/>
      <c r="N3" s="4"/>
      <c r="O3" s="4"/>
      <c r="P3" s="4"/>
      <c r="Q3"/>
      <c r="R3"/>
      <c r="S3"/>
      <c r="T3"/>
      <c r="U3"/>
      <c r="V3"/>
      <c r="W3" s="4"/>
      <c r="X3" s="4"/>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26.15" hidden="1" customHeight="1" x14ac:dyDescent="0.35">
      <c r="A4" s="106" t="s">
        <v>537</v>
      </c>
      <c r="B4" s="107">
        <f>+BF53</f>
        <v>0.50488975453438822</v>
      </c>
      <c r="C4" s="5"/>
      <c r="D4" s="4"/>
      <c r="E4" s="5"/>
      <c r="F4" s="5"/>
      <c r="G4" s="5"/>
      <c r="H4" s="4"/>
      <c r="I4" s="4"/>
      <c r="J4" s="4"/>
      <c r="K4" s="4"/>
      <c r="L4" s="4"/>
      <c r="M4" s="4"/>
      <c r="N4" s="4"/>
      <c r="O4" s="4"/>
      <c r="P4" s="4"/>
      <c r="Q4"/>
      <c r="R4"/>
      <c r="S4"/>
      <c r="T4"/>
      <c r="U4"/>
      <c r="V4"/>
      <c r="W4" s="4"/>
      <c r="X4" s="4"/>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C5" s="5"/>
      <c r="D5" s="4" t="s">
        <v>533</v>
      </c>
      <c r="E5" s="5"/>
      <c r="F5" s="5"/>
      <c r="G5" s="5"/>
      <c r="H5" s="4"/>
      <c r="I5" s="4"/>
      <c r="J5" s="4"/>
      <c r="K5" s="4"/>
      <c r="L5" s="4"/>
      <c r="M5" s="4"/>
      <c r="N5" s="4"/>
      <c r="O5" s="4"/>
      <c r="P5" s="4"/>
      <c r="Q5"/>
      <c r="R5"/>
      <c r="S5"/>
      <c r="T5"/>
      <c r="U5"/>
      <c r="V5"/>
      <c r="W5" s="4"/>
      <c r="X5" s="4"/>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30.65" customHeight="1" x14ac:dyDescent="0.35">
      <c r="A6" s="123" t="s">
        <v>48</v>
      </c>
      <c r="B6" s="124"/>
      <c r="C6" s="124"/>
      <c r="D6" s="124"/>
      <c r="E6" s="312"/>
      <c r="F6" s="312"/>
      <c r="G6" s="312"/>
      <c r="H6" s="312"/>
      <c r="I6" s="312"/>
      <c r="J6" s="312"/>
      <c r="K6" s="110"/>
      <c r="L6" s="315" t="s">
        <v>52</v>
      </c>
      <c r="M6" s="316"/>
      <c r="N6" s="316"/>
      <c r="O6" s="316"/>
      <c r="P6" s="317"/>
      <c r="Q6" s="312" t="s">
        <v>27</v>
      </c>
      <c r="R6" s="312"/>
      <c r="S6" s="312"/>
      <c r="T6" s="312"/>
      <c r="U6" s="312" t="s">
        <v>41</v>
      </c>
      <c r="V6" s="312"/>
      <c r="W6" s="315" t="s">
        <v>10</v>
      </c>
      <c r="X6" s="316"/>
      <c r="Y6" s="316"/>
      <c r="Z6" s="317"/>
      <c r="AA6" s="125"/>
      <c r="AB6" s="312" t="s">
        <v>20</v>
      </c>
      <c r="AC6" s="312"/>
      <c r="AD6" s="312"/>
      <c r="AE6" s="312"/>
      <c r="AF6" s="312" t="s">
        <v>49</v>
      </c>
      <c r="AG6" s="312"/>
      <c r="AH6" s="312"/>
      <c r="AI6" s="312"/>
      <c r="AJ6" s="298"/>
      <c r="AK6" s="312" t="s">
        <v>21</v>
      </c>
      <c r="AL6" s="312"/>
      <c r="AM6" s="312"/>
      <c r="AN6" s="312"/>
      <c r="AO6" s="312"/>
      <c r="AP6" s="312" t="s">
        <v>27</v>
      </c>
      <c r="AQ6" s="312"/>
      <c r="AR6" s="312"/>
      <c r="AS6" s="312"/>
      <c r="AT6" s="312"/>
      <c r="AU6" s="312"/>
      <c r="AV6" s="312"/>
      <c r="AW6" s="312"/>
      <c r="AX6" s="312"/>
      <c r="AY6" s="312"/>
      <c r="AZ6" s="312"/>
      <c r="BA6" s="312"/>
      <c r="BB6" s="312" t="s">
        <v>41</v>
      </c>
      <c r="BC6" s="312"/>
      <c r="BD6" s="312"/>
      <c r="BE6" s="312"/>
      <c r="BF6" s="312"/>
      <c r="BG6" s="312"/>
      <c r="BH6" s="312"/>
      <c r="BI6" s="321"/>
      <c r="BJ6" s="321"/>
      <c r="BK6" s="321"/>
      <c r="BL6" s="321"/>
    </row>
    <row r="7" spans="1:64" ht="30.65" customHeight="1" x14ac:dyDescent="0.35">
      <c r="A7" s="125"/>
      <c r="B7" s="126"/>
      <c r="C7" s="126"/>
      <c r="D7" s="126"/>
      <c r="E7" s="312"/>
      <c r="F7" s="312"/>
      <c r="G7" s="312"/>
      <c r="H7" s="312"/>
      <c r="I7" s="312"/>
      <c r="J7" s="312"/>
      <c r="K7" s="112"/>
      <c r="L7" s="318"/>
      <c r="M7" s="319"/>
      <c r="N7" s="319"/>
      <c r="O7" s="319"/>
      <c r="P7" s="320"/>
      <c r="Q7" s="312"/>
      <c r="R7" s="312"/>
      <c r="S7" s="312"/>
      <c r="T7" s="312"/>
      <c r="U7" s="312"/>
      <c r="V7" s="312"/>
      <c r="W7" s="318"/>
      <c r="X7" s="319"/>
      <c r="Y7" s="319"/>
      <c r="Z7" s="320"/>
      <c r="AA7" s="125"/>
      <c r="AB7" s="312"/>
      <c r="AC7" s="312"/>
      <c r="AD7" s="312"/>
      <c r="AE7" s="312"/>
      <c r="AF7" s="312"/>
      <c r="AG7" s="312"/>
      <c r="AH7" s="312"/>
      <c r="AI7" s="312"/>
      <c r="AJ7" s="298"/>
      <c r="AK7" s="312"/>
      <c r="AL7" s="312"/>
      <c r="AM7" s="312"/>
      <c r="AN7" s="312"/>
      <c r="AO7" s="312"/>
      <c r="AP7" s="313" t="s">
        <v>22</v>
      </c>
      <c r="AQ7" s="313"/>
      <c r="AR7" s="313"/>
      <c r="AS7" s="313" t="s">
        <v>23</v>
      </c>
      <c r="AT7" s="313"/>
      <c r="AU7" s="313"/>
      <c r="AV7" s="313" t="s">
        <v>24</v>
      </c>
      <c r="AW7" s="313"/>
      <c r="AX7" s="313"/>
      <c r="AY7" s="313" t="s">
        <v>25</v>
      </c>
      <c r="AZ7" s="313"/>
      <c r="BA7" s="313"/>
      <c r="BB7" s="312"/>
      <c r="BC7" s="312"/>
      <c r="BD7" s="312"/>
      <c r="BE7" s="312"/>
      <c r="BF7" s="312"/>
      <c r="BG7" s="312"/>
      <c r="BH7" s="312"/>
      <c r="BI7" s="322"/>
      <c r="BJ7" s="322"/>
      <c r="BK7" s="322"/>
      <c r="BL7" s="322"/>
    </row>
    <row r="8" spans="1:64" ht="105.65" customHeight="1" x14ac:dyDescent="0.35">
      <c r="A8" s="114" t="s">
        <v>7</v>
      </c>
      <c r="B8" s="114" t="s">
        <v>8</v>
      </c>
      <c r="C8" s="114" t="s">
        <v>9</v>
      </c>
      <c r="D8" s="115" t="s">
        <v>540</v>
      </c>
      <c r="E8" s="115" t="s">
        <v>50</v>
      </c>
      <c r="F8" s="116" t="s">
        <v>541</v>
      </c>
      <c r="G8" s="116" t="s">
        <v>542</v>
      </c>
      <c r="H8" s="116" t="s">
        <v>14</v>
      </c>
      <c r="I8" s="116" t="s">
        <v>64</v>
      </c>
      <c r="J8" s="116" t="s">
        <v>16</v>
      </c>
      <c r="K8" s="116" t="s">
        <v>543</v>
      </c>
      <c r="L8" s="117" t="s">
        <v>22</v>
      </c>
      <c r="M8" s="117" t="s">
        <v>23</v>
      </c>
      <c r="N8" s="117" t="s">
        <v>24</v>
      </c>
      <c r="O8" s="117" t="s">
        <v>25</v>
      </c>
      <c r="P8" s="118" t="s">
        <v>26</v>
      </c>
      <c r="Q8" s="117" t="s">
        <v>53</v>
      </c>
      <c r="R8" s="117" t="s">
        <v>54</v>
      </c>
      <c r="S8" s="117" t="s">
        <v>43</v>
      </c>
      <c r="T8" s="117" t="s">
        <v>55</v>
      </c>
      <c r="U8" s="117" t="s">
        <v>46</v>
      </c>
      <c r="V8" s="117" t="s">
        <v>41</v>
      </c>
      <c r="W8" s="117" t="s">
        <v>0</v>
      </c>
      <c r="X8" s="117" t="s">
        <v>2</v>
      </c>
      <c r="Y8" s="117" t="s">
        <v>11</v>
      </c>
      <c r="Z8" s="117" t="s">
        <v>12</v>
      </c>
      <c r="AA8" s="118" t="s">
        <v>544</v>
      </c>
      <c r="AB8" s="114" t="s">
        <v>17</v>
      </c>
      <c r="AC8" s="114" t="s">
        <v>6</v>
      </c>
      <c r="AD8" s="117" t="s">
        <v>18</v>
      </c>
      <c r="AE8" s="117" t="s">
        <v>19</v>
      </c>
      <c r="AF8" s="114" t="s">
        <v>13</v>
      </c>
      <c r="AG8" s="117" t="s">
        <v>57</v>
      </c>
      <c r="AH8" s="117" t="s">
        <v>15</v>
      </c>
      <c r="AI8" s="117" t="s">
        <v>58</v>
      </c>
      <c r="AJ8" s="117" t="s">
        <v>545</v>
      </c>
      <c r="AK8" s="119" t="s">
        <v>42</v>
      </c>
      <c r="AL8" s="119" t="s">
        <v>59</v>
      </c>
      <c r="AM8" s="119" t="s">
        <v>60</v>
      </c>
      <c r="AN8" s="119" t="s">
        <v>44</v>
      </c>
      <c r="AO8" s="119" t="s">
        <v>61</v>
      </c>
      <c r="AP8" s="121" t="s">
        <v>28</v>
      </c>
      <c r="AQ8" s="121" t="s">
        <v>29</v>
      </c>
      <c r="AR8" s="121" t="s">
        <v>30</v>
      </c>
      <c r="AS8" s="121" t="s">
        <v>31</v>
      </c>
      <c r="AT8" s="121" t="s">
        <v>32</v>
      </c>
      <c r="AU8" s="121" t="s">
        <v>33</v>
      </c>
      <c r="AV8" s="121" t="s">
        <v>34</v>
      </c>
      <c r="AW8" s="121" t="s">
        <v>35</v>
      </c>
      <c r="AX8" s="121" t="s">
        <v>36</v>
      </c>
      <c r="AY8" s="121" t="s">
        <v>37</v>
      </c>
      <c r="AZ8" s="121" t="s">
        <v>38</v>
      </c>
      <c r="BA8" s="121" t="s">
        <v>39</v>
      </c>
      <c r="BB8" s="117" t="s">
        <v>40</v>
      </c>
      <c r="BC8" s="117" t="s">
        <v>45</v>
      </c>
      <c r="BD8" s="117" t="s">
        <v>528</v>
      </c>
      <c r="BE8" s="117" t="s">
        <v>527</v>
      </c>
      <c r="BF8" s="117" t="s">
        <v>529</v>
      </c>
      <c r="BG8" s="117" t="s">
        <v>524</v>
      </c>
      <c r="BH8" s="117" t="s">
        <v>525</v>
      </c>
      <c r="BI8" s="117" t="s">
        <v>504</v>
      </c>
      <c r="BJ8" s="117" t="s">
        <v>512</v>
      </c>
      <c r="BK8" s="117" t="s">
        <v>3</v>
      </c>
      <c r="BL8" s="117" t="s">
        <v>56</v>
      </c>
    </row>
    <row r="9" spans="1:64" s="3" customFormat="1" ht="105.65" customHeight="1" x14ac:dyDescent="0.35">
      <c r="A9" s="194" t="s">
        <v>321</v>
      </c>
      <c r="B9" s="210" t="s">
        <v>322</v>
      </c>
      <c r="C9" s="195" t="s">
        <v>323</v>
      </c>
      <c r="D9" s="211">
        <v>0.14000000000000001</v>
      </c>
      <c r="E9" s="195" t="s">
        <v>95</v>
      </c>
      <c r="F9" s="197">
        <v>1</v>
      </c>
      <c r="G9" s="197" t="s">
        <v>65</v>
      </c>
      <c r="H9" s="198" t="s">
        <v>96</v>
      </c>
      <c r="I9" s="198">
        <v>4</v>
      </c>
      <c r="J9" s="198" t="s">
        <v>381</v>
      </c>
      <c r="K9" s="197" t="s">
        <v>65</v>
      </c>
      <c r="L9" s="198">
        <v>1</v>
      </c>
      <c r="M9" s="198">
        <v>1</v>
      </c>
      <c r="N9" s="198">
        <v>1</v>
      </c>
      <c r="O9" s="198">
        <v>1</v>
      </c>
      <c r="P9" s="198">
        <f>SUM(Tabla14[[#This Row],[TRIM I]:[TRIM IV]])</f>
        <v>4</v>
      </c>
      <c r="Q9" s="198">
        <v>1</v>
      </c>
      <c r="R9" s="199">
        <v>1</v>
      </c>
      <c r="S9" s="199"/>
      <c r="T9" s="199"/>
      <c r="U9" s="198">
        <f>SUM(Tabla14[[#This Row],[TRIM I    ]:[TRIM IV    ]])</f>
        <v>2</v>
      </c>
      <c r="V9" s="200">
        <f>IFERROR(IF(P9=0,"",IF((U9/P9)&gt;100%,100%,(U9/P9))),"")</f>
        <v>0.5</v>
      </c>
      <c r="W9" s="198" t="s">
        <v>65</v>
      </c>
      <c r="X9" s="198" t="s">
        <v>65</v>
      </c>
      <c r="Y9" s="198" t="s">
        <v>65</v>
      </c>
      <c r="Z9" s="198" t="s">
        <v>65</v>
      </c>
      <c r="AA9" s="211">
        <v>0.25</v>
      </c>
      <c r="AB9" s="195" t="s">
        <v>97</v>
      </c>
      <c r="AC9" s="195" t="s">
        <v>539</v>
      </c>
      <c r="AD9" s="212">
        <v>44936</v>
      </c>
      <c r="AE9" s="212">
        <v>45289</v>
      </c>
      <c r="AF9" s="195" t="s">
        <v>98</v>
      </c>
      <c r="AG9" s="198" t="s">
        <v>99</v>
      </c>
      <c r="AH9" s="213">
        <v>1</v>
      </c>
      <c r="AI9" s="198" t="s">
        <v>538</v>
      </c>
      <c r="AJ9" s="197" t="s">
        <v>65</v>
      </c>
      <c r="AK9" s="198" t="s">
        <v>47</v>
      </c>
      <c r="AL9" s="198"/>
      <c r="AM9" s="198" t="s">
        <v>47</v>
      </c>
      <c r="AN9" s="198">
        <v>1</v>
      </c>
      <c r="AO9" s="198">
        <f>SUM(Tabla14[[#This Row],[TRIM I   ]:[TRIM IV     ]])</f>
        <v>1</v>
      </c>
      <c r="AP9" s="198"/>
      <c r="AQ9" s="198"/>
      <c r="AR9" s="198"/>
      <c r="AS9" s="199"/>
      <c r="AT9" s="199"/>
      <c r="AU9" s="199"/>
      <c r="AV9" s="19"/>
      <c r="AW9" s="19"/>
      <c r="AX9" s="19"/>
      <c r="AY9" s="19"/>
      <c r="AZ9" s="19"/>
      <c r="BA9" s="19"/>
      <c r="BB9" s="198">
        <f>SUM(Tabla14[[#This Row],[Enero ]:[Dic]])</f>
        <v>0</v>
      </c>
      <c r="BC9" s="200">
        <f>IFERROR(IF(AO9=0,"",IF((BB9/AO9)&gt;100%,100%,(BB9/AO9))),"")</f>
        <v>0</v>
      </c>
      <c r="BD9" s="200">
        <f>IFERROR(BC9*AA9,"")</f>
        <v>0</v>
      </c>
      <c r="BE9" s="200">
        <f>BD13*Tabla14[[#This Row],[Peso porcentual de la Meta de Objetivo]]</f>
        <v>0.66666666666666663</v>
      </c>
      <c r="BF9" s="200">
        <f>Tabla14[[#This Row],[Avance ponderado frente a la meta de objetivo]]*Tabla14[[#This Row],[Peso Porcentual del Objetivo ]]</f>
        <v>9.3333333333333338E-2</v>
      </c>
      <c r="BG9" s="200">
        <v>0.99</v>
      </c>
      <c r="BH9" s="214"/>
      <c r="BI9" s="198" t="s">
        <v>505</v>
      </c>
      <c r="BJ9" s="198" t="s">
        <v>100</v>
      </c>
      <c r="BK9" s="198" t="s">
        <v>386</v>
      </c>
      <c r="BL9" s="198" t="s">
        <v>386</v>
      </c>
    </row>
    <row r="10" spans="1:64" s="3" customFormat="1" ht="105.65" customHeight="1" x14ac:dyDescent="0.35">
      <c r="A10" s="194" t="s">
        <v>321</v>
      </c>
      <c r="B10" s="210" t="s">
        <v>322</v>
      </c>
      <c r="C10" s="195" t="s">
        <v>323</v>
      </c>
      <c r="D10" s="198"/>
      <c r="E10" s="195" t="s">
        <v>95</v>
      </c>
      <c r="F10" s="195"/>
      <c r="G10" s="195"/>
      <c r="H10" s="198"/>
      <c r="I10" s="197"/>
      <c r="J10" s="198"/>
      <c r="K10" s="198"/>
      <c r="L10" s="198"/>
      <c r="M10" s="198"/>
      <c r="N10" s="198"/>
      <c r="O10" s="198"/>
      <c r="P10" s="197"/>
      <c r="Q10" s="198"/>
      <c r="R10" s="199"/>
      <c r="S10" s="199"/>
      <c r="T10" s="199"/>
      <c r="U10" s="198"/>
      <c r="V10" s="197" t="str">
        <f>IFERROR(IF(P10=0,"",IF((U10/P10)&gt;100%,100%,(U10/P10))),"")</f>
        <v/>
      </c>
      <c r="W10" s="198" t="s">
        <v>65</v>
      </c>
      <c r="X10" s="198" t="s">
        <v>65</v>
      </c>
      <c r="Y10" s="198" t="s">
        <v>65</v>
      </c>
      <c r="Z10" s="198" t="s">
        <v>65</v>
      </c>
      <c r="AA10" s="211">
        <v>0.25</v>
      </c>
      <c r="AB10" s="195" t="s">
        <v>102</v>
      </c>
      <c r="AC10" s="195" t="s">
        <v>103</v>
      </c>
      <c r="AD10" s="212">
        <v>44936</v>
      </c>
      <c r="AE10" s="212">
        <v>45289</v>
      </c>
      <c r="AF10" s="195" t="s">
        <v>104</v>
      </c>
      <c r="AG10" s="198" t="s">
        <v>393</v>
      </c>
      <c r="AH10" s="200">
        <v>0.6</v>
      </c>
      <c r="AI10" s="198" t="s">
        <v>259</v>
      </c>
      <c r="AJ10" s="197" t="s">
        <v>65</v>
      </c>
      <c r="AK10" s="198" t="s">
        <v>47</v>
      </c>
      <c r="AL10" s="200">
        <v>0.6</v>
      </c>
      <c r="AM10" s="198" t="s">
        <v>47</v>
      </c>
      <c r="AN10" s="200">
        <v>0.6</v>
      </c>
      <c r="AO10" s="200">
        <v>0.6</v>
      </c>
      <c r="AP10" s="200"/>
      <c r="AQ10" s="200"/>
      <c r="AR10" s="200"/>
      <c r="AS10" s="215"/>
      <c r="AT10" s="215"/>
      <c r="AU10" s="215">
        <f t="shared" ref="AU10" si="0">8/8</f>
        <v>1</v>
      </c>
      <c r="AV10" s="307"/>
      <c r="AW10" s="307"/>
      <c r="AX10" s="307"/>
      <c r="AY10" s="307"/>
      <c r="AZ10" s="307"/>
      <c r="BA10" s="307"/>
      <c r="BB10" s="200">
        <f>AVERAGE(Tabla14[[#This Row],[Enero ]:[Dic]])</f>
        <v>1</v>
      </c>
      <c r="BC10" s="200">
        <f>IFERROR(IF(AO10=0,"",IF((BB10/AO10)&gt;100%,100%,(BB10/AO10))),"")</f>
        <v>1</v>
      </c>
      <c r="BD10" s="200">
        <f>IFERROR(BC10*AA10,"")</f>
        <v>0.25</v>
      </c>
      <c r="BE10" s="200"/>
      <c r="BF10" s="200"/>
      <c r="BG10" s="200"/>
      <c r="BH10" s="197">
        <v>0.99</v>
      </c>
      <c r="BI10" s="198" t="s">
        <v>505</v>
      </c>
      <c r="BJ10" s="198" t="s">
        <v>100</v>
      </c>
      <c r="BK10" s="198" t="s">
        <v>105</v>
      </c>
      <c r="BL10" s="198" t="s">
        <v>101</v>
      </c>
    </row>
    <row r="11" spans="1:64" ht="105.65" customHeight="1" x14ac:dyDescent="0.35">
      <c r="A11" s="46" t="s">
        <v>321</v>
      </c>
      <c r="B11" s="48" t="s">
        <v>322</v>
      </c>
      <c r="C11" s="41" t="s">
        <v>323</v>
      </c>
      <c r="D11" s="8"/>
      <c r="E11" s="41" t="s">
        <v>95</v>
      </c>
      <c r="F11" s="41"/>
      <c r="G11" s="41"/>
      <c r="H11" s="8"/>
      <c r="I11" s="8"/>
      <c r="J11" s="8"/>
      <c r="K11" s="8"/>
      <c r="L11" s="8"/>
      <c r="M11" s="8"/>
      <c r="N11" s="8"/>
      <c r="O11" s="8"/>
      <c r="P11" s="8"/>
      <c r="Q11" s="8"/>
      <c r="R11" s="19"/>
      <c r="S11" s="19"/>
      <c r="T11" s="19"/>
      <c r="U11" s="8"/>
      <c r="V11" s="37" t="str">
        <f>IFERROR(IF(P11=0,"",IF((U11/P11)&gt;100%,100%,(U11/P11))),"")</f>
        <v/>
      </c>
      <c r="W11" s="8" t="s">
        <v>65</v>
      </c>
      <c r="X11" s="8" t="s">
        <v>65</v>
      </c>
      <c r="Y11" s="8" t="s">
        <v>65</v>
      </c>
      <c r="Z11" s="8" t="s">
        <v>65</v>
      </c>
      <c r="AA11" s="12">
        <v>0.25</v>
      </c>
      <c r="AB11" s="41" t="s">
        <v>106</v>
      </c>
      <c r="AC11" s="41" t="s">
        <v>107</v>
      </c>
      <c r="AD11" s="42">
        <v>44936</v>
      </c>
      <c r="AE11" s="42">
        <v>45135</v>
      </c>
      <c r="AF11" s="41" t="s">
        <v>108</v>
      </c>
      <c r="AG11" s="8" t="s">
        <v>109</v>
      </c>
      <c r="AH11" s="43">
        <v>1</v>
      </c>
      <c r="AI11" s="8" t="s">
        <v>383</v>
      </c>
      <c r="AJ11" s="37" t="s">
        <v>65</v>
      </c>
      <c r="AK11" s="8"/>
      <c r="AL11" s="8">
        <v>1</v>
      </c>
      <c r="AM11" s="8"/>
      <c r="AN11" s="8"/>
      <c r="AO11" s="8">
        <f>SUM(Tabla14[[#This Row],[TRIM I   ]:[TRIM IV     ]])</f>
        <v>1</v>
      </c>
      <c r="AP11" s="8"/>
      <c r="AQ11" s="8"/>
      <c r="AR11" s="8"/>
      <c r="AS11" s="19"/>
      <c r="AT11" s="19"/>
      <c r="AU11" s="19">
        <v>1</v>
      </c>
      <c r="AV11" s="19"/>
      <c r="AW11" s="19"/>
      <c r="AX11" s="19"/>
      <c r="AY11" s="19"/>
      <c r="AZ11" s="19"/>
      <c r="BA11" s="19"/>
      <c r="BB11" s="8">
        <f>SUM(Tabla14[[#This Row],[Enero ]:[Dic]])</f>
        <v>1</v>
      </c>
      <c r="BC11" s="17">
        <f>IFERROR(IF(AO11=0,"",IF((BB11/AO11)&gt;100%,100%,(BB11/AO11))),"")</f>
        <v>1</v>
      </c>
      <c r="BD11" s="17">
        <f>IFERROR(BC11*AA11,"")</f>
        <v>0.25</v>
      </c>
      <c r="BE11" s="17"/>
      <c r="BF11" s="17"/>
      <c r="BG11" s="17"/>
      <c r="BH11" s="37">
        <v>1</v>
      </c>
      <c r="BI11" s="8" t="s">
        <v>505</v>
      </c>
      <c r="BJ11" s="8" t="s">
        <v>100</v>
      </c>
      <c r="BK11" s="45" t="s">
        <v>110</v>
      </c>
      <c r="BL11" s="45" t="s">
        <v>101</v>
      </c>
    </row>
    <row r="12" spans="1:64" s="3" customFormat="1" ht="105.65" customHeight="1" x14ac:dyDescent="0.35">
      <c r="A12" s="194" t="s">
        <v>321</v>
      </c>
      <c r="B12" s="210" t="s">
        <v>322</v>
      </c>
      <c r="C12" s="195" t="s">
        <v>323</v>
      </c>
      <c r="D12" s="198"/>
      <c r="E12" s="195" t="s">
        <v>95</v>
      </c>
      <c r="F12" s="195"/>
      <c r="G12" s="195"/>
      <c r="H12" s="198"/>
      <c r="I12" s="198"/>
      <c r="J12" s="198"/>
      <c r="K12" s="198"/>
      <c r="L12" s="198"/>
      <c r="M12" s="198"/>
      <c r="N12" s="198"/>
      <c r="O12" s="198"/>
      <c r="P12" s="198"/>
      <c r="Q12" s="198"/>
      <c r="R12" s="199"/>
      <c r="S12" s="199"/>
      <c r="T12" s="199"/>
      <c r="U12" s="198"/>
      <c r="V12" s="197" t="str">
        <f>IFERROR(IF(P12=0,"",IF((U12/P12)&gt;100%,100%,(U12/P12))),"")</f>
        <v/>
      </c>
      <c r="W12" s="198" t="s">
        <v>65</v>
      </c>
      <c r="X12" s="198" t="s">
        <v>65</v>
      </c>
      <c r="Y12" s="198" t="s">
        <v>65</v>
      </c>
      <c r="Z12" s="198" t="s">
        <v>65</v>
      </c>
      <c r="AA12" s="211">
        <v>0.25</v>
      </c>
      <c r="AB12" s="195" t="s">
        <v>111</v>
      </c>
      <c r="AC12" s="195" t="s">
        <v>112</v>
      </c>
      <c r="AD12" s="212">
        <v>44936</v>
      </c>
      <c r="AE12" s="212">
        <v>45289</v>
      </c>
      <c r="AF12" s="195" t="s">
        <v>113</v>
      </c>
      <c r="AG12" s="198" t="s">
        <v>114</v>
      </c>
      <c r="AH12" s="213">
        <v>3</v>
      </c>
      <c r="AI12" s="198" t="s">
        <v>384</v>
      </c>
      <c r="AJ12" s="197" t="s">
        <v>65</v>
      </c>
      <c r="AK12" s="198"/>
      <c r="AL12" s="198">
        <v>1</v>
      </c>
      <c r="AM12" s="198">
        <v>1</v>
      </c>
      <c r="AN12" s="198">
        <v>1</v>
      </c>
      <c r="AO12" s="198">
        <f>SUM(Tabla14[[#This Row],[TRIM I   ]:[TRIM IV     ]])</f>
        <v>3</v>
      </c>
      <c r="AP12" s="198"/>
      <c r="AQ12" s="198"/>
      <c r="AR12" s="198"/>
      <c r="AS12" s="199"/>
      <c r="AT12" s="199"/>
      <c r="AU12" s="199">
        <v>2</v>
      </c>
      <c r="AV12" s="19"/>
      <c r="AW12" s="19"/>
      <c r="AX12" s="19"/>
      <c r="AY12" s="19"/>
      <c r="AZ12" s="19"/>
      <c r="BA12" s="19"/>
      <c r="BB12" s="198">
        <f>SUM(Tabla14[[#This Row],[Enero ]:[Dic]])</f>
        <v>2</v>
      </c>
      <c r="BC12" s="200">
        <f>IFERROR(IF(AO12=0,"",IF((BB12/AO12)&gt;100%,100%,(BB12/AO12))),"")</f>
        <v>0.66666666666666663</v>
      </c>
      <c r="BD12" s="200">
        <f>IFERROR(BC12*AA12,"")</f>
        <v>0.16666666666666666</v>
      </c>
      <c r="BE12" s="200"/>
      <c r="BF12" s="200"/>
      <c r="BG12" s="200"/>
      <c r="BH12" s="197">
        <v>0.99</v>
      </c>
      <c r="BI12" s="198" t="s">
        <v>505</v>
      </c>
      <c r="BJ12" s="198" t="s">
        <v>100</v>
      </c>
      <c r="BK12" s="216" t="s">
        <v>110</v>
      </c>
      <c r="BL12" s="216" t="s">
        <v>101</v>
      </c>
    </row>
    <row r="13" spans="1:64" x14ac:dyDescent="0.35">
      <c r="A13" s="127"/>
      <c r="B13" s="127"/>
      <c r="C13" s="127"/>
      <c r="D13" s="128"/>
      <c r="E13" s="127"/>
      <c r="F13" s="127"/>
      <c r="G13" s="127"/>
      <c r="H13" s="128"/>
      <c r="I13" s="128"/>
      <c r="J13" s="128"/>
      <c r="K13" s="128"/>
      <c r="L13" s="128"/>
      <c r="M13" s="128"/>
      <c r="N13" s="128"/>
      <c r="O13" s="128"/>
      <c r="P13" s="128"/>
      <c r="Q13" s="129"/>
      <c r="R13" s="130"/>
      <c r="S13" s="130"/>
      <c r="T13" s="130"/>
      <c r="U13" s="129"/>
      <c r="V13" s="131"/>
      <c r="W13" s="128"/>
      <c r="X13" s="128"/>
      <c r="Y13" s="128"/>
      <c r="Z13" s="128"/>
      <c r="AA13" s="128"/>
      <c r="AB13" s="127"/>
      <c r="AC13" s="127"/>
      <c r="AD13" s="132"/>
      <c r="AE13" s="132"/>
      <c r="AF13" s="127"/>
      <c r="AG13" s="128"/>
      <c r="AH13" s="133"/>
      <c r="AI13" s="128"/>
      <c r="AJ13" s="128"/>
      <c r="AK13" s="128"/>
      <c r="AL13" s="128"/>
      <c r="AM13" s="128"/>
      <c r="AN13" s="128"/>
      <c r="AO13" s="128"/>
      <c r="AP13" s="128"/>
      <c r="AQ13" s="128"/>
      <c r="AR13" s="128"/>
      <c r="AS13" s="134"/>
      <c r="AT13" s="134"/>
      <c r="AU13" s="134"/>
      <c r="AV13" s="134"/>
      <c r="AW13" s="134"/>
      <c r="AX13" s="134"/>
      <c r="AY13" s="134"/>
      <c r="AZ13" s="134"/>
      <c r="BA13" s="134"/>
      <c r="BB13" s="128"/>
      <c r="BC13" s="135"/>
      <c r="BD13" s="136">
        <f>SUM(BD9:BD12)</f>
        <v>0.66666666666666663</v>
      </c>
      <c r="BE13" s="136"/>
      <c r="BF13" s="136"/>
      <c r="BG13" s="136"/>
      <c r="BH13" s="135"/>
      <c r="BI13" s="137"/>
      <c r="BJ13" s="137"/>
      <c r="BK13" s="137"/>
      <c r="BL13" s="137"/>
    </row>
    <row r="14" spans="1:64" s="2" customFormat="1" ht="58" x14ac:dyDescent="0.35">
      <c r="A14" s="46" t="s">
        <v>62</v>
      </c>
      <c r="B14" s="41" t="s">
        <v>63</v>
      </c>
      <c r="C14" s="41" t="s">
        <v>68</v>
      </c>
      <c r="D14" s="79">
        <v>0.55000000000000004</v>
      </c>
      <c r="E14" s="41" t="s">
        <v>88</v>
      </c>
      <c r="F14" s="87">
        <v>0.32</v>
      </c>
      <c r="G14" s="37" t="s">
        <v>65</v>
      </c>
      <c r="H14" s="8" t="s">
        <v>89</v>
      </c>
      <c r="I14" s="8">
        <v>4</v>
      </c>
      <c r="J14" s="8" t="s">
        <v>87</v>
      </c>
      <c r="K14" s="37" t="s">
        <v>65</v>
      </c>
      <c r="L14" s="8">
        <v>1</v>
      </c>
      <c r="M14" s="8">
        <v>1</v>
      </c>
      <c r="N14" s="8">
        <v>1</v>
      </c>
      <c r="O14" s="8">
        <v>1</v>
      </c>
      <c r="P14" s="8">
        <f>SUM(Tabla14[[#This Row],[TRIM I]:[TRIM IV]])</f>
        <v>4</v>
      </c>
      <c r="Q14" s="8">
        <v>1</v>
      </c>
      <c r="R14" s="19">
        <v>1</v>
      </c>
      <c r="S14" s="19"/>
      <c r="T14" s="19"/>
      <c r="U14" s="8">
        <f>SUM(Tabla14[[#This Row],[TRIM I    ]:[TRIM IV    ]])</f>
        <v>2</v>
      </c>
      <c r="V14" s="17">
        <f>IFERROR(IF(P14=0,"",IF((U14/P14)&gt;100%,100%,(U14/P14))),"")</f>
        <v>0.5</v>
      </c>
      <c r="W14" s="8" t="s">
        <v>65</v>
      </c>
      <c r="X14" s="8" t="s">
        <v>65</v>
      </c>
      <c r="Y14" s="8" t="s">
        <v>65</v>
      </c>
      <c r="Z14" s="8" t="s">
        <v>65</v>
      </c>
      <c r="AA14" s="37">
        <v>0.25</v>
      </c>
      <c r="AB14" s="48" t="s">
        <v>66</v>
      </c>
      <c r="AC14" s="41" t="s">
        <v>67</v>
      </c>
      <c r="AD14" s="49">
        <v>44928</v>
      </c>
      <c r="AE14" s="50">
        <v>44957</v>
      </c>
      <c r="AF14" s="41" t="s">
        <v>91</v>
      </c>
      <c r="AG14" s="8" t="s">
        <v>90</v>
      </c>
      <c r="AH14" s="8">
        <v>1</v>
      </c>
      <c r="AI14" s="8" t="s">
        <v>94</v>
      </c>
      <c r="AJ14" s="37" t="s">
        <v>65</v>
      </c>
      <c r="AK14" s="8">
        <v>1</v>
      </c>
      <c r="AL14" s="8"/>
      <c r="AM14" s="8"/>
      <c r="AN14" s="8"/>
      <c r="AO14" s="8">
        <f>SUM(Tabla14[[#This Row],[TRIM I   ]:[TRIM IV     ]])</f>
        <v>1</v>
      </c>
      <c r="AP14" s="8">
        <v>1</v>
      </c>
      <c r="AQ14" s="8"/>
      <c r="AR14" s="8"/>
      <c r="AS14" s="19"/>
      <c r="AT14" s="19"/>
      <c r="AU14" s="19"/>
      <c r="AV14" s="19"/>
      <c r="AW14" s="19"/>
      <c r="AX14" s="19"/>
      <c r="AY14" s="19"/>
      <c r="AZ14" s="19"/>
      <c r="BA14" s="19"/>
      <c r="BB14" s="8">
        <f>SUM(Tabla14[[#This Row],[Enero ]:[Dic]])</f>
        <v>1</v>
      </c>
      <c r="BC14" s="17">
        <f>IFERROR(IF(AO14=0,"",IF((BB14/AO14)&gt;100%,100%,(BB14/AO14))),"")</f>
        <v>1</v>
      </c>
      <c r="BD14" s="17">
        <f t="shared" ref="BD14:BD18" si="1">IFERROR(BC14*AA14,"")</f>
        <v>0.25</v>
      </c>
      <c r="BE14" s="17">
        <f>BD19*Tabla14[[#This Row],[Peso porcentual de la Meta de Objetivo]]</f>
        <v>0.128</v>
      </c>
      <c r="BF14" s="17">
        <f>(Tabla14[[#This Row],[Avance ponderado frente a la meta de objetivo]]+BE29+BE34+BE36+BE39+BE44+BE46)*Tabla14[[#This Row],[Peso Porcentual del Objetivo ]]</f>
        <v>0.26936855345911953</v>
      </c>
      <c r="BG14" s="17">
        <v>1</v>
      </c>
      <c r="BH14" s="17"/>
      <c r="BI14" s="8" t="s">
        <v>505</v>
      </c>
      <c r="BJ14" s="8" t="s">
        <v>92</v>
      </c>
      <c r="BK14" s="8" t="s">
        <v>93</v>
      </c>
      <c r="BL14" s="8" t="s">
        <v>93</v>
      </c>
    </row>
    <row r="15" spans="1:64" s="2" customFormat="1" ht="58" x14ac:dyDescent="0.35">
      <c r="A15" s="46" t="s">
        <v>62</v>
      </c>
      <c r="B15" s="41" t="s">
        <v>63</v>
      </c>
      <c r="C15" s="41" t="s">
        <v>68</v>
      </c>
      <c r="D15" s="17"/>
      <c r="E15" s="41" t="s">
        <v>88</v>
      </c>
      <c r="F15" s="41"/>
      <c r="G15" s="41"/>
      <c r="H15" s="8"/>
      <c r="I15" s="8"/>
      <c r="J15" s="8"/>
      <c r="K15" s="8"/>
      <c r="L15" s="8"/>
      <c r="M15" s="8"/>
      <c r="N15" s="8"/>
      <c r="O15" s="8"/>
      <c r="P15" s="8"/>
      <c r="Q15" s="36"/>
      <c r="R15" s="20"/>
      <c r="S15" s="20"/>
      <c r="T15" s="20"/>
      <c r="U15" s="36"/>
      <c r="V15" s="51"/>
      <c r="W15" s="8" t="s">
        <v>65</v>
      </c>
      <c r="X15" s="8" t="s">
        <v>65</v>
      </c>
      <c r="Y15" s="8" t="s">
        <v>65</v>
      </c>
      <c r="Z15" s="8" t="s">
        <v>65</v>
      </c>
      <c r="AA15" s="37">
        <v>0.2</v>
      </c>
      <c r="AB15" s="41" t="s">
        <v>170</v>
      </c>
      <c r="AC15" s="41" t="s">
        <v>171</v>
      </c>
      <c r="AD15" s="49">
        <v>44927</v>
      </c>
      <c r="AE15" s="49">
        <v>45291</v>
      </c>
      <c r="AF15" s="41" t="s">
        <v>172</v>
      </c>
      <c r="AG15" s="8" t="s">
        <v>173</v>
      </c>
      <c r="AH15" s="52">
        <v>1</v>
      </c>
      <c r="AI15" s="53" t="s">
        <v>87</v>
      </c>
      <c r="AJ15" s="37" t="s">
        <v>65</v>
      </c>
      <c r="AK15" s="53"/>
      <c r="AL15" s="53"/>
      <c r="AM15" s="53">
        <v>1</v>
      </c>
      <c r="AN15" s="53"/>
      <c r="AO15" s="8">
        <f>SUM(Tabla14[[#This Row],[TRIM I   ]:[TRIM IV     ]])</f>
        <v>1</v>
      </c>
      <c r="AP15" s="8"/>
      <c r="AQ15" s="8"/>
      <c r="AR15" s="8"/>
      <c r="AS15" s="19"/>
      <c r="AT15" s="19"/>
      <c r="AU15" s="19"/>
      <c r="AV15" s="19"/>
      <c r="AW15" s="19"/>
      <c r="AX15" s="19"/>
      <c r="AY15" s="19"/>
      <c r="AZ15" s="19"/>
      <c r="BA15" s="19"/>
      <c r="BB15" s="8">
        <f>SUM(Tabla14[[#This Row],[Enero ]:[Dic]])</f>
        <v>0</v>
      </c>
      <c r="BC15" s="17">
        <f>IFERROR(IF(AO15=0,"",IF((BB15/AO15)&gt;100%,100%,(BB15/AO15))),"")</f>
        <v>0</v>
      </c>
      <c r="BD15" s="17">
        <f t="shared" si="1"/>
        <v>0</v>
      </c>
      <c r="BE15" s="17"/>
      <c r="BF15" s="17"/>
      <c r="BG15" s="17"/>
      <c r="BH15" s="17"/>
      <c r="BI15" s="8" t="s">
        <v>505</v>
      </c>
      <c r="BJ15" s="8" t="s">
        <v>92</v>
      </c>
      <c r="BK15" s="8" t="s">
        <v>174</v>
      </c>
      <c r="BL15" s="8" t="s">
        <v>174</v>
      </c>
    </row>
    <row r="16" spans="1:64" s="2" customFormat="1" ht="58" x14ac:dyDescent="0.35">
      <c r="A16" s="46" t="s">
        <v>62</v>
      </c>
      <c r="B16" s="41" t="s">
        <v>63</v>
      </c>
      <c r="C16" s="41" t="s">
        <v>68</v>
      </c>
      <c r="D16" s="17"/>
      <c r="E16" s="41" t="s">
        <v>88</v>
      </c>
      <c r="F16" s="41"/>
      <c r="G16" s="41"/>
      <c r="H16" s="8"/>
      <c r="I16" s="8"/>
      <c r="J16" s="8"/>
      <c r="K16" s="8"/>
      <c r="L16" s="8"/>
      <c r="M16" s="8"/>
      <c r="N16" s="8"/>
      <c r="O16" s="8"/>
      <c r="P16" s="8"/>
      <c r="Q16" s="36"/>
      <c r="R16" s="20"/>
      <c r="S16" s="20"/>
      <c r="T16" s="20"/>
      <c r="U16" s="36"/>
      <c r="V16" s="51"/>
      <c r="W16" s="8" t="s">
        <v>65</v>
      </c>
      <c r="X16" s="8" t="s">
        <v>65</v>
      </c>
      <c r="Y16" s="8" t="s">
        <v>65</v>
      </c>
      <c r="Z16" s="8" t="s">
        <v>65</v>
      </c>
      <c r="AA16" s="37">
        <v>0.2</v>
      </c>
      <c r="AB16" s="41" t="s">
        <v>175</v>
      </c>
      <c r="AC16" s="6" t="s">
        <v>182</v>
      </c>
      <c r="AD16" s="49">
        <v>44927</v>
      </c>
      <c r="AE16" s="49">
        <v>45291</v>
      </c>
      <c r="AF16" s="41" t="s">
        <v>176</v>
      </c>
      <c r="AG16" s="8" t="s">
        <v>177</v>
      </c>
      <c r="AH16" s="52">
        <v>1</v>
      </c>
      <c r="AI16" s="53" t="s">
        <v>87</v>
      </c>
      <c r="AJ16" s="37" t="s">
        <v>65</v>
      </c>
      <c r="AK16" s="53"/>
      <c r="AL16" s="53"/>
      <c r="AM16" s="53">
        <v>1</v>
      </c>
      <c r="AN16" s="53"/>
      <c r="AO16" s="8">
        <f>SUM(Tabla14[[#This Row],[TRIM I   ]:[TRIM IV     ]])</f>
        <v>1</v>
      </c>
      <c r="AP16" s="8"/>
      <c r="AQ16" s="8"/>
      <c r="AR16" s="8"/>
      <c r="AS16" s="19"/>
      <c r="AT16" s="19"/>
      <c r="AU16" s="19"/>
      <c r="AV16" s="19"/>
      <c r="AW16" s="19"/>
      <c r="AX16" s="19"/>
      <c r="AY16" s="19"/>
      <c r="AZ16" s="19"/>
      <c r="BA16" s="19"/>
      <c r="BB16" s="8">
        <f>SUM(Tabla14[[#This Row],[Enero ]:[Dic]])</f>
        <v>0</v>
      </c>
      <c r="BC16" s="17">
        <f>IFERROR(IF(AO16=0,"",IF((BB16/AO16)&gt;100%,100%,(BB16/AO16))),"")</f>
        <v>0</v>
      </c>
      <c r="BD16" s="17">
        <f t="shared" si="1"/>
        <v>0</v>
      </c>
      <c r="BE16" s="17"/>
      <c r="BF16" s="17"/>
      <c r="BG16" s="17"/>
      <c r="BH16" s="17"/>
      <c r="BI16" s="8" t="s">
        <v>505</v>
      </c>
      <c r="BJ16" s="8" t="s">
        <v>92</v>
      </c>
      <c r="BK16" s="8" t="s">
        <v>174</v>
      </c>
      <c r="BL16" s="8" t="s">
        <v>174</v>
      </c>
    </row>
    <row r="17" spans="1:64" s="2" customFormat="1" ht="58" x14ac:dyDescent="0.35">
      <c r="A17" s="46" t="s">
        <v>62</v>
      </c>
      <c r="B17" s="41" t="s">
        <v>63</v>
      </c>
      <c r="C17" s="41" t="s">
        <v>68</v>
      </c>
      <c r="D17" s="17"/>
      <c r="E17" s="41" t="s">
        <v>88</v>
      </c>
      <c r="F17" s="41"/>
      <c r="G17" s="41"/>
      <c r="H17" s="8"/>
      <c r="I17" s="8"/>
      <c r="J17" s="8"/>
      <c r="K17" s="8"/>
      <c r="L17" s="8"/>
      <c r="M17" s="8"/>
      <c r="N17" s="8"/>
      <c r="O17" s="8"/>
      <c r="P17" s="8"/>
      <c r="Q17" s="36"/>
      <c r="R17" s="20"/>
      <c r="S17" s="20"/>
      <c r="T17" s="20"/>
      <c r="U17" s="36"/>
      <c r="V17" s="51"/>
      <c r="W17" s="8" t="s">
        <v>65</v>
      </c>
      <c r="X17" s="8" t="s">
        <v>65</v>
      </c>
      <c r="Y17" s="8" t="s">
        <v>65</v>
      </c>
      <c r="Z17" s="8" t="s">
        <v>65</v>
      </c>
      <c r="AA17" s="37">
        <v>0.2</v>
      </c>
      <c r="AB17" s="41" t="s">
        <v>178</v>
      </c>
      <c r="AC17" s="41" t="s">
        <v>179</v>
      </c>
      <c r="AD17" s="49">
        <v>44927</v>
      </c>
      <c r="AE17" s="49">
        <v>45291</v>
      </c>
      <c r="AF17" s="41" t="s">
        <v>180</v>
      </c>
      <c r="AG17" s="8" t="s">
        <v>181</v>
      </c>
      <c r="AH17" s="52">
        <v>2</v>
      </c>
      <c r="AI17" s="53" t="s">
        <v>87</v>
      </c>
      <c r="AJ17" s="37" t="s">
        <v>65</v>
      </c>
      <c r="AK17" s="53"/>
      <c r="AL17" s="53"/>
      <c r="AM17" s="53">
        <v>1</v>
      </c>
      <c r="AN17" s="53">
        <v>1</v>
      </c>
      <c r="AO17" s="8">
        <f>SUM(Tabla14[[#This Row],[TRIM I   ]:[TRIM IV     ]])</f>
        <v>2</v>
      </c>
      <c r="AP17" s="8"/>
      <c r="AQ17" s="8"/>
      <c r="AR17" s="8"/>
      <c r="AS17" s="19"/>
      <c r="AT17" s="19"/>
      <c r="AU17" s="19"/>
      <c r="AV17" s="19"/>
      <c r="AW17" s="19"/>
      <c r="AX17" s="19"/>
      <c r="AY17" s="19"/>
      <c r="AZ17" s="19"/>
      <c r="BA17" s="19"/>
      <c r="BB17" s="8">
        <f>SUM(Tabla14[[#This Row],[Enero ]:[Dic]])</f>
        <v>0</v>
      </c>
      <c r="BC17" s="17">
        <f>IFERROR(IF(AO17=0,"",IF((BB17/AO17)&gt;100%,100%,(BB17/AO17))),"")</f>
        <v>0</v>
      </c>
      <c r="BD17" s="17">
        <f t="shared" si="1"/>
        <v>0</v>
      </c>
      <c r="BE17" s="17"/>
      <c r="BF17" s="17"/>
      <c r="BG17" s="17"/>
      <c r="BH17" s="17"/>
      <c r="BI17" s="8" t="s">
        <v>505</v>
      </c>
      <c r="BJ17" s="8" t="s">
        <v>92</v>
      </c>
      <c r="BK17" s="8" t="s">
        <v>174</v>
      </c>
      <c r="BL17" s="8" t="s">
        <v>174</v>
      </c>
    </row>
    <row r="18" spans="1:64" s="2" customFormat="1" ht="72.5" x14ac:dyDescent="0.35">
      <c r="A18" s="46" t="s">
        <v>62</v>
      </c>
      <c r="B18" s="41" t="s">
        <v>63</v>
      </c>
      <c r="C18" s="41" t="s">
        <v>68</v>
      </c>
      <c r="D18" s="17"/>
      <c r="E18" s="41" t="s">
        <v>88</v>
      </c>
      <c r="F18" s="41"/>
      <c r="G18" s="41"/>
      <c r="H18" s="8"/>
      <c r="I18" s="8"/>
      <c r="J18" s="8"/>
      <c r="K18" s="8"/>
      <c r="L18" s="8"/>
      <c r="M18" s="8"/>
      <c r="N18" s="8"/>
      <c r="O18" s="8"/>
      <c r="P18" s="8"/>
      <c r="Q18" s="36"/>
      <c r="R18" s="20"/>
      <c r="S18" s="20"/>
      <c r="T18" s="20"/>
      <c r="U18" s="36"/>
      <c r="V18" s="51"/>
      <c r="W18" s="8" t="s">
        <v>65</v>
      </c>
      <c r="X18" s="8" t="s">
        <v>65</v>
      </c>
      <c r="Y18" s="8" t="s">
        <v>65</v>
      </c>
      <c r="Z18" s="8" t="s">
        <v>65</v>
      </c>
      <c r="AA18" s="37">
        <v>0.15</v>
      </c>
      <c r="AB18" s="41" t="s">
        <v>183</v>
      </c>
      <c r="AC18" s="41" t="s">
        <v>184</v>
      </c>
      <c r="AD18" s="49">
        <v>45201</v>
      </c>
      <c r="AE18" s="49">
        <v>45260</v>
      </c>
      <c r="AF18" s="41" t="s">
        <v>394</v>
      </c>
      <c r="AG18" s="8" t="s">
        <v>395</v>
      </c>
      <c r="AH18" s="8">
        <v>1</v>
      </c>
      <c r="AI18" s="8" t="s">
        <v>87</v>
      </c>
      <c r="AJ18" s="37" t="s">
        <v>65</v>
      </c>
      <c r="AK18" s="8"/>
      <c r="AL18" s="8">
        <v>1</v>
      </c>
      <c r="AM18" s="8"/>
      <c r="AN18" s="8"/>
      <c r="AO18" s="8">
        <f>SUM(Tabla14[[#This Row],[TRIM I   ]:[TRIM IV     ]])</f>
        <v>1</v>
      </c>
      <c r="AP18" s="8"/>
      <c r="AQ18" s="8"/>
      <c r="AR18" s="8"/>
      <c r="AS18" s="19"/>
      <c r="AT18" s="19"/>
      <c r="AU18" s="19">
        <v>1</v>
      </c>
      <c r="AV18" s="19"/>
      <c r="AW18" s="19"/>
      <c r="AX18" s="19"/>
      <c r="AY18" s="19"/>
      <c r="AZ18" s="19"/>
      <c r="BA18" s="19"/>
      <c r="BB18" s="8">
        <f>SUM(Tabla14[[#This Row],[Enero ]:[Dic]])</f>
        <v>1</v>
      </c>
      <c r="BC18" s="17">
        <f>IFERROR(IF(AO18=0,"",IF((BB18/AO18)&gt;100%,100%,(BB18/AO18))),"")</f>
        <v>1</v>
      </c>
      <c r="BD18" s="17">
        <f t="shared" si="1"/>
        <v>0.15</v>
      </c>
      <c r="BE18" s="17"/>
      <c r="BF18" s="17"/>
      <c r="BG18" s="17"/>
      <c r="BH18" s="17">
        <v>1</v>
      </c>
      <c r="BI18" s="8" t="s">
        <v>505</v>
      </c>
      <c r="BJ18" s="8" t="s">
        <v>92</v>
      </c>
      <c r="BK18" s="8" t="s">
        <v>185</v>
      </c>
      <c r="BL18" s="8" t="s">
        <v>93</v>
      </c>
    </row>
    <row r="19" spans="1:64" s="2" customFormat="1" x14ac:dyDescent="0.35">
      <c r="A19" s="138"/>
      <c r="B19" s="127"/>
      <c r="C19" s="127"/>
      <c r="D19" s="128"/>
      <c r="E19" s="127"/>
      <c r="F19" s="127"/>
      <c r="G19" s="127"/>
      <c r="H19" s="128"/>
      <c r="I19" s="128"/>
      <c r="J19" s="128"/>
      <c r="K19" s="128"/>
      <c r="L19" s="128"/>
      <c r="M19" s="128"/>
      <c r="N19" s="128"/>
      <c r="O19" s="128"/>
      <c r="P19" s="128"/>
      <c r="Q19" s="129"/>
      <c r="R19" s="130"/>
      <c r="S19" s="130"/>
      <c r="T19" s="130"/>
      <c r="U19" s="129"/>
      <c r="V19" s="131"/>
      <c r="W19" s="128"/>
      <c r="X19" s="128"/>
      <c r="Y19" s="128"/>
      <c r="Z19" s="128"/>
      <c r="AA19" s="128"/>
      <c r="AB19" s="127"/>
      <c r="AC19" s="127"/>
      <c r="AD19" s="139"/>
      <c r="AE19" s="140"/>
      <c r="AF19" s="127"/>
      <c r="AG19" s="128"/>
      <c r="AH19" s="128"/>
      <c r="AI19" s="128"/>
      <c r="AJ19" s="128"/>
      <c r="AK19" s="128"/>
      <c r="AL19" s="128"/>
      <c r="AM19" s="128"/>
      <c r="AN19" s="128"/>
      <c r="AO19" s="128"/>
      <c r="AP19" s="127"/>
      <c r="AQ19" s="127"/>
      <c r="AR19" s="127"/>
      <c r="AS19" s="141"/>
      <c r="AT19" s="141"/>
      <c r="AU19" s="141"/>
      <c r="AV19" s="141"/>
      <c r="AW19" s="141"/>
      <c r="AX19" s="141"/>
      <c r="AY19" s="141"/>
      <c r="AZ19" s="141"/>
      <c r="BA19" s="141"/>
      <c r="BB19" s="127"/>
      <c r="BC19" s="142"/>
      <c r="BD19" s="136">
        <f>SUM(BD14:BD18)</f>
        <v>0.4</v>
      </c>
      <c r="BE19" s="136"/>
      <c r="BF19" s="136"/>
      <c r="BG19" s="136"/>
      <c r="BH19" s="135"/>
      <c r="BI19" s="137"/>
      <c r="BJ19" s="137"/>
      <c r="BK19" s="137"/>
      <c r="BL19" s="137"/>
    </row>
    <row r="20" spans="1:64" s="2" customFormat="1" ht="130.5" x14ac:dyDescent="0.35">
      <c r="A20" s="54" t="s">
        <v>115</v>
      </c>
      <c r="B20" s="54" t="s">
        <v>116</v>
      </c>
      <c r="C20" s="41" t="s">
        <v>117</v>
      </c>
      <c r="D20" s="79">
        <v>0.31</v>
      </c>
      <c r="E20" s="27" t="s">
        <v>396</v>
      </c>
      <c r="F20" s="87">
        <v>0.33</v>
      </c>
      <c r="G20" s="37" t="s">
        <v>65</v>
      </c>
      <c r="H20" s="29" t="s">
        <v>285</v>
      </c>
      <c r="I20" s="8">
        <v>5</v>
      </c>
      <c r="J20" s="8" t="s">
        <v>286</v>
      </c>
      <c r="K20" s="37" t="s">
        <v>65</v>
      </c>
      <c r="L20" s="8"/>
      <c r="M20" s="8">
        <v>2</v>
      </c>
      <c r="N20" s="8">
        <v>2</v>
      </c>
      <c r="O20" s="8">
        <v>1</v>
      </c>
      <c r="P20" s="8">
        <f>SUM(Tabla14[[#This Row],[TRIM I]:[TRIM IV]])</f>
        <v>5</v>
      </c>
      <c r="Q20" s="8"/>
      <c r="R20" s="19">
        <v>2</v>
      </c>
      <c r="S20" s="19"/>
      <c r="T20" s="19"/>
      <c r="U20" s="8">
        <f>SUM(Tabla14[[#This Row],[TRIM I    ]:[TRIM IV    ]])</f>
        <v>2</v>
      </c>
      <c r="V20" s="17">
        <f>IFERROR(IF(P20=0,"",IF((U20/P20)&gt;100%,100%,(U20/P20))),"")</f>
        <v>0.4</v>
      </c>
      <c r="W20" s="8" t="s">
        <v>65</v>
      </c>
      <c r="X20" s="8" t="s">
        <v>65</v>
      </c>
      <c r="Y20" s="8" t="s">
        <v>65</v>
      </c>
      <c r="Z20" s="8" t="s">
        <v>65</v>
      </c>
      <c r="AA20" s="37">
        <v>0.35</v>
      </c>
      <c r="AB20" s="41" t="s">
        <v>287</v>
      </c>
      <c r="AC20" s="41" t="s">
        <v>397</v>
      </c>
      <c r="AD20" s="49">
        <v>44986</v>
      </c>
      <c r="AE20" s="50">
        <v>45289</v>
      </c>
      <c r="AF20" s="27" t="s">
        <v>398</v>
      </c>
      <c r="AG20" s="8" t="s">
        <v>399</v>
      </c>
      <c r="AH20" s="52">
        <v>3</v>
      </c>
      <c r="AI20" s="53" t="s">
        <v>288</v>
      </c>
      <c r="AJ20" s="37" t="s">
        <v>65</v>
      </c>
      <c r="AK20" s="52"/>
      <c r="AL20" s="52"/>
      <c r="AM20" s="52">
        <v>1</v>
      </c>
      <c r="AN20" s="52">
        <v>2</v>
      </c>
      <c r="AO20" s="8">
        <f>SUM(Tabla14[[#This Row],[TRIM I   ]:[TRIM IV     ]])</f>
        <v>3</v>
      </c>
      <c r="AP20" s="8"/>
      <c r="AQ20" s="8"/>
      <c r="AR20" s="8"/>
      <c r="AS20" s="19"/>
      <c r="AT20" s="19"/>
      <c r="AU20" s="19"/>
      <c r="AV20" s="19"/>
      <c r="AW20" s="19"/>
      <c r="AX20" s="19"/>
      <c r="AY20" s="19"/>
      <c r="AZ20" s="19"/>
      <c r="BA20" s="19"/>
      <c r="BB20" s="8">
        <f>SUM(Tabla14[[#This Row],[Enero ]:[Dic]])</f>
        <v>0</v>
      </c>
      <c r="BC20" s="17">
        <f>IFERROR(IF(AO20=0,"",IF((BB20/AO20)&gt;100%,100%,(BB20/AO20))),"")</f>
        <v>0</v>
      </c>
      <c r="BD20" s="17">
        <f t="shared" ref="BD20:BD22" si="2">IFERROR(BC20*AA20,"")</f>
        <v>0</v>
      </c>
      <c r="BE20" s="17">
        <f>BD23*Tabla14[[#This Row],[Peso porcentual de la Meta de Objetivo]]</f>
        <v>0.13200000000000001</v>
      </c>
      <c r="BF20" s="17">
        <f>(Tabla14[[#This Row],[Avance ponderado frente a la meta de objetivo]]+BE24+BE41)*Tabla14[[#This Row],[Peso Porcentual del Objetivo ]]</f>
        <v>0.15096999999999999</v>
      </c>
      <c r="BG20" s="17">
        <v>1</v>
      </c>
      <c r="BH20" s="17"/>
      <c r="BI20" s="8" t="s">
        <v>505</v>
      </c>
      <c r="BJ20" s="8" t="s">
        <v>506</v>
      </c>
      <c r="BK20" s="28" t="s">
        <v>296</v>
      </c>
      <c r="BL20" s="28" t="s">
        <v>297</v>
      </c>
    </row>
    <row r="21" spans="1:64" s="2" customFormat="1" ht="72.5" x14ac:dyDescent="0.35">
      <c r="A21" s="54" t="s">
        <v>115</v>
      </c>
      <c r="B21" s="54" t="s">
        <v>116</v>
      </c>
      <c r="C21" s="41" t="s">
        <v>117</v>
      </c>
      <c r="D21" s="25"/>
      <c r="E21" s="27" t="s">
        <v>396</v>
      </c>
      <c r="F21" s="27"/>
      <c r="G21" s="27"/>
      <c r="H21" s="8"/>
      <c r="I21" s="37"/>
      <c r="J21" s="8"/>
      <c r="K21" s="8"/>
      <c r="L21" s="37"/>
      <c r="M21" s="37"/>
      <c r="N21" s="37"/>
      <c r="O21" s="37"/>
      <c r="P21" s="37"/>
      <c r="Q21" s="36"/>
      <c r="R21" s="20"/>
      <c r="S21" s="20"/>
      <c r="T21" s="20"/>
      <c r="U21" s="36"/>
      <c r="V21" s="51"/>
      <c r="W21" s="8" t="s">
        <v>65</v>
      </c>
      <c r="X21" s="8" t="s">
        <v>65</v>
      </c>
      <c r="Y21" s="8" t="s">
        <v>65</v>
      </c>
      <c r="Z21" s="8" t="s">
        <v>65</v>
      </c>
      <c r="AA21" s="37">
        <v>0.4</v>
      </c>
      <c r="AB21" s="41" t="s">
        <v>431</v>
      </c>
      <c r="AC21" s="41" t="s">
        <v>291</v>
      </c>
      <c r="AD21" s="49">
        <v>44986</v>
      </c>
      <c r="AE21" s="50">
        <v>45289</v>
      </c>
      <c r="AF21" s="41" t="s">
        <v>292</v>
      </c>
      <c r="AG21" s="8" t="s">
        <v>293</v>
      </c>
      <c r="AH21" s="55">
        <v>0.9</v>
      </c>
      <c r="AI21" s="8" t="s">
        <v>259</v>
      </c>
      <c r="AJ21" s="37" t="s">
        <v>65</v>
      </c>
      <c r="AK21" s="18">
        <v>0.9</v>
      </c>
      <c r="AL21" s="18">
        <v>0.9</v>
      </c>
      <c r="AM21" s="18">
        <v>0.9</v>
      </c>
      <c r="AN21" s="18">
        <v>0.9</v>
      </c>
      <c r="AO21" s="18">
        <v>0.9</v>
      </c>
      <c r="AP21" s="303"/>
      <c r="AQ21" s="18"/>
      <c r="AR21" s="18">
        <f>7/7</f>
        <v>1</v>
      </c>
      <c r="AS21" s="61"/>
      <c r="AT21" s="61"/>
      <c r="AU21" s="61"/>
      <c r="AV21" s="61"/>
      <c r="AW21" s="61"/>
      <c r="AX21" s="61"/>
      <c r="AY21" s="61"/>
      <c r="AZ21" s="61"/>
      <c r="BA21" s="61"/>
      <c r="BB21" s="25">
        <f>AVERAGE(Tabla14[[#This Row],[Enero ]:[Dic]])</f>
        <v>1</v>
      </c>
      <c r="BC21" s="25">
        <f>IFERROR(IF(AO21=0,"",IF((BB21/AO21)&gt;100%,100%,(BB21/AO21))),"")</f>
        <v>1</v>
      </c>
      <c r="BD21" s="25">
        <f t="shared" si="2"/>
        <v>0.4</v>
      </c>
      <c r="BE21" s="25"/>
      <c r="BF21" s="25"/>
      <c r="BG21" s="25"/>
      <c r="BH21" s="25">
        <v>0</v>
      </c>
      <c r="BI21" s="8" t="s">
        <v>505</v>
      </c>
      <c r="BJ21" s="8" t="s">
        <v>506</v>
      </c>
      <c r="BK21" s="28" t="s">
        <v>289</v>
      </c>
      <c r="BL21" s="28" t="s">
        <v>290</v>
      </c>
    </row>
    <row r="22" spans="1:64" s="2" customFormat="1" ht="116" x14ac:dyDescent="0.35">
      <c r="A22" s="54" t="s">
        <v>115</v>
      </c>
      <c r="B22" s="54" t="s">
        <v>116</v>
      </c>
      <c r="C22" s="41" t="s">
        <v>117</v>
      </c>
      <c r="D22" s="17"/>
      <c r="E22" s="27" t="s">
        <v>396</v>
      </c>
      <c r="F22" s="27"/>
      <c r="G22" s="27"/>
      <c r="H22" s="8"/>
      <c r="I22" s="37"/>
      <c r="J22" s="8"/>
      <c r="K22" s="8"/>
      <c r="L22" s="37"/>
      <c r="M22" s="37"/>
      <c r="N22" s="37"/>
      <c r="O22" s="37"/>
      <c r="P22" s="37"/>
      <c r="Q22" s="36"/>
      <c r="R22" s="20"/>
      <c r="S22" s="20"/>
      <c r="T22" s="20"/>
      <c r="U22" s="36"/>
      <c r="V22" s="51"/>
      <c r="W22" s="8" t="s">
        <v>65</v>
      </c>
      <c r="X22" s="8" t="s">
        <v>65</v>
      </c>
      <c r="Y22" s="8" t="s">
        <v>65</v>
      </c>
      <c r="Z22" s="8" t="s">
        <v>65</v>
      </c>
      <c r="AA22" s="37">
        <v>0.25</v>
      </c>
      <c r="AB22" s="41" t="s">
        <v>294</v>
      </c>
      <c r="AC22" s="41" t="s">
        <v>295</v>
      </c>
      <c r="AD22" s="49">
        <v>45078</v>
      </c>
      <c r="AE22" s="50">
        <v>45289</v>
      </c>
      <c r="AF22" s="41" t="s">
        <v>292</v>
      </c>
      <c r="AG22" s="8" t="s">
        <v>293</v>
      </c>
      <c r="AH22" s="55">
        <v>1</v>
      </c>
      <c r="AI22" s="8" t="s">
        <v>259</v>
      </c>
      <c r="AJ22" s="37" t="s">
        <v>65</v>
      </c>
      <c r="AK22" s="18"/>
      <c r="AL22" s="18"/>
      <c r="AM22" s="18">
        <v>1</v>
      </c>
      <c r="AN22" s="18">
        <v>1</v>
      </c>
      <c r="AO22" s="18">
        <v>1</v>
      </c>
      <c r="AP22" s="18"/>
      <c r="AQ22" s="18"/>
      <c r="AR22" s="18"/>
      <c r="AS22" s="61"/>
      <c r="AT22" s="61"/>
      <c r="AU22" s="61"/>
      <c r="AV22" s="61"/>
      <c r="AW22" s="61"/>
      <c r="AX22" s="61"/>
      <c r="AY22" s="61"/>
      <c r="AZ22" s="61"/>
      <c r="BA22" s="61"/>
      <c r="BB22" s="17" t="e">
        <f>AVERAGE(Tabla14[[#This Row],[Enero ]:[Dic]])</f>
        <v>#DIV/0!</v>
      </c>
      <c r="BC22" s="17" t="str">
        <f>IFERROR(IF(AO22=0,"",IF((BB22/AO22)&gt;100%,100%,(BB22/AO22))),"")</f>
        <v/>
      </c>
      <c r="BD22" s="17" t="str">
        <f t="shared" si="2"/>
        <v/>
      </c>
      <c r="BE22" s="17"/>
      <c r="BF22" s="17"/>
      <c r="BG22" s="17"/>
      <c r="BH22" s="17"/>
      <c r="BI22" s="8" t="s">
        <v>505</v>
      </c>
      <c r="BJ22" s="8" t="s">
        <v>506</v>
      </c>
      <c r="BK22" s="28" t="s">
        <v>289</v>
      </c>
      <c r="BL22" s="28" t="s">
        <v>290</v>
      </c>
    </row>
    <row r="23" spans="1:64" s="2" customFormat="1" x14ac:dyDescent="0.35">
      <c r="A23" s="138"/>
      <c r="B23" s="127"/>
      <c r="C23" s="127"/>
      <c r="D23" s="128"/>
      <c r="E23" s="127"/>
      <c r="F23" s="127"/>
      <c r="G23" s="127"/>
      <c r="H23" s="128"/>
      <c r="I23" s="128"/>
      <c r="J23" s="128"/>
      <c r="K23" s="128"/>
      <c r="L23" s="128"/>
      <c r="M23" s="128"/>
      <c r="N23" s="128"/>
      <c r="O23" s="128"/>
      <c r="P23" s="128"/>
      <c r="Q23" s="129"/>
      <c r="R23" s="130"/>
      <c r="S23" s="130"/>
      <c r="T23" s="130"/>
      <c r="U23" s="129"/>
      <c r="V23" s="131"/>
      <c r="W23" s="128"/>
      <c r="X23" s="128"/>
      <c r="Y23" s="128"/>
      <c r="Z23" s="128"/>
      <c r="AA23" s="128"/>
      <c r="AB23" s="127"/>
      <c r="AC23" s="127"/>
      <c r="AD23" s="139"/>
      <c r="AE23" s="140"/>
      <c r="AF23" s="127"/>
      <c r="AG23" s="128"/>
      <c r="AH23" s="128"/>
      <c r="AI23" s="128"/>
      <c r="AJ23" s="128"/>
      <c r="AK23" s="128"/>
      <c r="AL23" s="128"/>
      <c r="AM23" s="128"/>
      <c r="AN23" s="128"/>
      <c r="AO23" s="128"/>
      <c r="AP23" s="127"/>
      <c r="AQ23" s="127"/>
      <c r="AR23" s="127"/>
      <c r="AS23" s="141"/>
      <c r="AT23" s="141"/>
      <c r="AU23" s="141"/>
      <c r="AV23" s="141"/>
      <c r="AW23" s="141"/>
      <c r="AX23" s="141"/>
      <c r="AY23" s="141"/>
      <c r="AZ23" s="141"/>
      <c r="BA23" s="141"/>
      <c r="BB23" s="127"/>
      <c r="BC23" s="142"/>
      <c r="BD23" s="136">
        <f>SUM(BD20:BD22)</f>
        <v>0.4</v>
      </c>
      <c r="BE23" s="136"/>
      <c r="BF23" s="136"/>
      <c r="BG23" s="136"/>
      <c r="BH23" s="135"/>
      <c r="BI23" s="137"/>
      <c r="BJ23" s="137"/>
      <c r="BK23" s="137"/>
      <c r="BL23" s="137"/>
    </row>
    <row r="24" spans="1:64" s="2" customFormat="1" ht="58" x14ac:dyDescent="0.35">
      <c r="A24" s="41" t="s">
        <v>115</v>
      </c>
      <c r="B24" s="41" t="s">
        <v>116</v>
      </c>
      <c r="C24" s="41" t="s">
        <v>117</v>
      </c>
      <c r="D24" s="79"/>
      <c r="E24" s="41" t="s">
        <v>496</v>
      </c>
      <c r="F24" s="37">
        <v>0.45</v>
      </c>
      <c r="G24" s="37" t="s">
        <v>65</v>
      </c>
      <c r="H24" s="8" t="s">
        <v>118</v>
      </c>
      <c r="I24" s="43">
        <v>3</v>
      </c>
      <c r="J24" s="8" t="s">
        <v>87</v>
      </c>
      <c r="K24" s="37" t="s">
        <v>65</v>
      </c>
      <c r="L24" s="8"/>
      <c r="M24" s="8">
        <v>1</v>
      </c>
      <c r="N24" s="8">
        <v>1</v>
      </c>
      <c r="O24" s="8">
        <v>1</v>
      </c>
      <c r="P24" s="8">
        <f>SUM(Tabla14[[#This Row],[TRIM I]:[TRIM IV]])</f>
        <v>3</v>
      </c>
      <c r="Q24" s="8"/>
      <c r="R24" s="19">
        <v>1</v>
      </c>
      <c r="S24" s="19"/>
      <c r="T24" s="19"/>
      <c r="U24" s="8">
        <f>SUM(Tabla14[[#This Row],[TRIM I    ]:[TRIM IV    ]])</f>
        <v>1</v>
      </c>
      <c r="V24" s="25">
        <f>IFERROR(IF(P24=0,"",IF((U24/P24)&gt;100%,100%,(U24/P24))),"")</f>
        <v>0.33333333333333331</v>
      </c>
      <c r="W24" s="8" t="s">
        <v>65</v>
      </c>
      <c r="X24" s="8" t="s">
        <v>65</v>
      </c>
      <c r="Y24" s="8" t="s">
        <v>65</v>
      </c>
      <c r="Z24" s="8" t="s">
        <v>65</v>
      </c>
      <c r="AA24" s="37">
        <v>0.25</v>
      </c>
      <c r="AB24" s="56" t="s">
        <v>470</v>
      </c>
      <c r="AC24" s="56" t="s">
        <v>471</v>
      </c>
      <c r="AD24" s="49">
        <v>45018</v>
      </c>
      <c r="AE24" s="49">
        <v>45289</v>
      </c>
      <c r="AF24" s="41" t="s">
        <v>472</v>
      </c>
      <c r="AG24" s="8" t="s">
        <v>473</v>
      </c>
      <c r="AH24" s="8">
        <v>2</v>
      </c>
      <c r="AI24" s="8" t="s">
        <v>474</v>
      </c>
      <c r="AJ24" s="37" t="s">
        <v>65</v>
      </c>
      <c r="AK24" s="8"/>
      <c r="AL24" s="8">
        <v>2</v>
      </c>
      <c r="AM24" s="8"/>
      <c r="AN24" s="8"/>
      <c r="AO24" s="8">
        <f>SUM(AK24:AN24)</f>
        <v>2</v>
      </c>
      <c r="AP24" s="8"/>
      <c r="AQ24" s="8"/>
      <c r="AR24" s="8"/>
      <c r="AS24" s="19"/>
      <c r="AT24" s="19"/>
      <c r="AU24" s="19">
        <v>2</v>
      </c>
      <c r="AV24" s="19"/>
      <c r="AW24" s="19"/>
      <c r="AX24" s="19"/>
      <c r="AY24" s="19"/>
      <c r="AZ24" s="19"/>
      <c r="BA24" s="19"/>
      <c r="BB24" s="8">
        <f>SUM(Tabla14[[#This Row],[Enero ]:[Dic]])</f>
        <v>2</v>
      </c>
      <c r="BC24" s="25">
        <f>IFERROR(IF(AO24=0,"",IF((BB24/AO24)&gt;100%,100%,(BB24/AO24))),"")</f>
        <v>1</v>
      </c>
      <c r="BD24" s="17">
        <f t="shared" ref="BD24:BD27" si="3">IFERROR(BC24*AA24,"")</f>
        <v>0.25</v>
      </c>
      <c r="BE24" s="17">
        <f>BD28*Tabla14[[#This Row],[Peso porcentual de la Meta de Objetivo]]</f>
        <v>0.3</v>
      </c>
      <c r="BF24" s="17"/>
      <c r="BG24" s="17">
        <v>1</v>
      </c>
      <c r="BH24" s="17">
        <v>1</v>
      </c>
      <c r="BI24" s="8" t="s">
        <v>505</v>
      </c>
      <c r="BJ24" s="8" t="s">
        <v>119</v>
      </c>
      <c r="BK24" s="8" t="s">
        <v>120</v>
      </c>
      <c r="BL24" s="8" t="s">
        <v>121</v>
      </c>
    </row>
    <row r="25" spans="1:64" s="2" customFormat="1" ht="58" x14ac:dyDescent="0.35">
      <c r="A25" s="41" t="s">
        <v>115</v>
      </c>
      <c r="B25" s="41" t="s">
        <v>116</v>
      </c>
      <c r="C25" s="41" t="s">
        <v>117</v>
      </c>
      <c r="D25" s="17"/>
      <c r="E25" s="41" t="s">
        <v>496</v>
      </c>
      <c r="F25" s="41"/>
      <c r="G25" s="41"/>
      <c r="H25" s="8"/>
      <c r="I25" s="43"/>
      <c r="J25" s="8"/>
      <c r="K25" s="8"/>
      <c r="L25" s="8"/>
      <c r="M25" s="8"/>
      <c r="N25" s="8"/>
      <c r="O25" s="8"/>
      <c r="P25" s="8"/>
      <c r="Q25" s="36"/>
      <c r="R25" s="20"/>
      <c r="S25" s="20"/>
      <c r="T25" s="20"/>
      <c r="U25" s="36"/>
      <c r="V25" s="26"/>
      <c r="W25" s="8" t="s">
        <v>65</v>
      </c>
      <c r="X25" s="8" t="s">
        <v>65</v>
      </c>
      <c r="Y25" s="8" t="s">
        <v>65</v>
      </c>
      <c r="Z25" s="8" t="s">
        <v>65</v>
      </c>
      <c r="AA25" s="37">
        <v>0.25</v>
      </c>
      <c r="AB25" s="56" t="s">
        <v>475</v>
      </c>
      <c r="AC25" s="56" t="s">
        <v>476</v>
      </c>
      <c r="AD25" s="49">
        <v>45018</v>
      </c>
      <c r="AE25" s="49">
        <v>45289</v>
      </c>
      <c r="AF25" s="41" t="s">
        <v>477</v>
      </c>
      <c r="AG25" s="8" t="s">
        <v>86</v>
      </c>
      <c r="AH25" s="8">
        <v>3</v>
      </c>
      <c r="AI25" s="8" t="s">
        <v>87</v>
      </c>
      <c r="AJ25" s="37" t="s">
        <v>65</v>
      </c>
      <c r="AK25" s="8"/>
      <c r="AL25" s="8">
        <v>1</v>
      </c>
      <c r="AM25" s="8">
        <v>1</v>
      </c>
      <c r="AN25" s="8">
        <v>1</v>
      </c>
      <c r="AO25" s="8">
        <f>SUM(AK25:AN25)</f>
        <v>3</v>
      </c>
      <c r="AP25" s="8"/>
      <c r="AQ25" s="8"/>
      <c r="AR25" s="8"/>
      <c r="AS25" s="19"/>
      <c r="AT25" s="19"/>
      <c r="AU25" s="19">
        <v>1</v>
      </c>
      <c r="AV25" s="19"/>
      <c r="AW25" s="19"/>
      <c r="AX25" s="19"/>
      <c r="AY25" s="19"/>
      <c r="AZ25" s="19"/>
      <c r="BA25" s="19"/>
      <c r="BB25" s="8">
        <f>SUM(Tabla14[[#This Row],[Enero ]:[Dic]])</f>
        <v>1</v>
      </c>
      <c r="BC25" s="25">
        <f>IFERROR(IF(AO25=0,"",IF((BB25/AO25)&gt;100%,100%,(BB25/AO25))),"")</f>
        <v>0.33333333333333331</v>
      </c>
      <c r="BD25" s="17">
        <f t="shared" si="3"/>
        <v>8.3333333333333329E-2</v>
      </c>
      <c r="BE25" s="17"/>
      <c r="BF25" s="17"/>
      <c r="BG25" s="17"/>
      <c r="BH25" s="17">
        <v>1</v>
      </c>
      <c r="BI25" s="8" t="s">
        <v>505</v>
      </c>
      <c r="BJ25" s="8" t="s">
        <v>119</v>
      </c>
      <c r="BK25" s="8" t="s">
        <v>120</v>
      </c>
      <c r="BL25" s="8" t="s">
        <v>121</v>
      </c>
    </row>
    <row r="26" spans="1:64" s="2" customFormat="1" ht="58" x14ac:dyDescent="0.35">
      <c r="A26" s="41" t="s">
        <v>115</v>
      </c>
      <c r="B26" s="41" t="s">
        <v>116</v>
      </c>
      <c r="C26" s="41" t="s">
        <v>117</v>
      </c>
      <c r="D26" s="17"/>
      <c r="E26" s="41" t="s">
        <v>496</v>
      </c>
      <c r="F26" s="41"/>
      <c r="G26" s="41"/>
      <c r="H26" s="8"/>
      <c r="I26" s="43"/>
      <c r="J26" s="8"/>
      <c r="K26" s="8"/>
      <c r="L26" s="8"/>
      <c r="M26" s="8"/>
      <c r="N26" s="8"/>
      <c r="O26" s="8"/>
      <c r="P26" s="8"/>
      <c r="Q26" s="36"/>
      <c r="R26" s="20"/>
      <c r="S26" s="20"/>
      <c r="T26" s="20"/>
      <c r="U26" s="36"/>
      <c r="V26" s="26"/>
      <c r="W26" s="8" t="s">
        <v>65</v>
      </c>
      <c r="X26" s="8" t="s">
        <v>65</v>
      </c>
      <c r="Y26" s="8" t="s">
        <v>65</v>
      </c>
      <c r="Z26" s="8" t="s">
        <v>65</v>
      </c>
      <c r="AA26" s="37">
        <v>0.25</v>
      </c>
      <c r="AB26" s="56" t="s">
        <v>478</v>
      </c>
      <c r="AC26" s="56" t="s">
        <v>479</v>
      </c>
      <c r="AD26" s="49">
        <v>45018</v>
      </c>
      <c r="AE26" s="49">
        <v>45289</v>
      </c>
      <c r="AF26" s="41" t="s">
        <v>472</v>
      </c>
      <c r="AG26" s="8" t="s">
        <v>473</v>
      </c>
      <c r="AH26" s="8">
        <v>1</v>
      </c>
      <c r="AI26" s="8" t="s">
        <v>474</v>
      </c>
      <c r="AJ26" s="37" t="s">
        <v>65</v>
      </c>
      <c r="AK26" s="8"/>
      <c r="AL26" s="8">
        <v>1</v>
      </c>
      <c r="AM26" s="8"/>
      <c r="AN26" s="8"/>
      <c r="AO26" s="8">
        <f>SUM(AK26:AN26)</f>
        <v>1</v>
      </c>
      <c r="AP26" s="8"/>
      <c r="AQ26" s="8"/>
      <c r="AR26" s="8"/>
      <c r="AS26" s="19"/>
      <c r="AT26" s="19"/>
      <c r="AU26" s="19">
        <v>1</v>
      </c>
      <c r="AV26" s="19"/>
      <c r="AW26" s="19"/>
      <c r="AX26" s="19"/>
      <c r="AY26" s="19"/>
      <c r="AZ26" s="19"/>
      <c r="BA26" s="19"/>
      <c r="BB26" s="8">
        <f>SUM(Tabla14[[#This Row],[Enero ]:[Dic]])</f>
        <v>1</v>
      </c>
      <c r="BC26" s="25">
        <f>IFERROR(IF(AO26=0,"",IF((BB26/AO26)&gt;100%,100%,(BB26/AO26))),"")</f>
        <v>1</v>
      </c>
      <c r="BD26" s="17">
        <f t="shared" si="3"/>
        <v>0.25</v>
      </c>
      <c r="BE26" s="17"/>
      <c r="BF26" s="17"/>
      <c r="BG26" s="17"/>
      <c r="BH26" s="17">
        <v>1</v>
      </c>
      <c r="BI26" s="8" t="s">
        <v>505</v>
      </c>
      <c r="BJ26" s="8" t="s">
        <v>119</v>
      </c>
      <c r="BK26" s="8" t="s">
        <v>120</v>
      </c>
      <c r="BL26" s="8" t="s">
        <v>121</v>
      </c>
    </row>
    <row r="27" spans="1:64" s="2" customFormat="1" ht="58" x14ac:dyDescent="0.35">
      <c r="A27" s="41" t="s">
        <v>115</v>
      </c>
      <c r="B27" s="41" t="s">
        <v>116</v>
      </c>
      <c r="C27" s="41" t="s">
        <v>117</v>
      </c>
      <c r="D27" s="17"/>
      <c r="E27" s="41" t="s">
        <v>496</v>
      </c>
      <c r="F27" s="41"/>
      <c r="G27" s="41"/>
      <c r="H27" s="8"/>
      <c r="I27" s="43"/>
      <c r="J27" s="8"/>
      <c r="K27" s="8"/>
      <c r="L27" s="8"/>
      <c r="M27" s="8"/>
      <c r="N27" s="8"/>
      <c r="O27" s="8"/>
      <c r="P27" s="8"/>
      <c r="Q27" s="36"/>
      <c r="R27" s="20"/>
      <c r="S27" s="20"/>
      <c r="T27" s="20"/>
      <c r="U27" s="36"/>
      <c r="V27" s="26"/>
      <c r="W27" s="8" t="s">
        <v>65</v>
      </c>
      <c r="X27" s="8" t="s">
        <v>65</v>
      </c>
      <c r="Y27" s="8" t="s">
        <v>65</v>
      </c>
      <c r="Z27" s="8" t="s">
        <v>65</v>
      </c>
      <c r="AA27" s="37">
        <v>0.25</v>
      </c>
      <c r="AB27" s="56" t="s">
        <v>480</v>
      </c>
      <c r="AC27" s="56" t="s">
        <v>481</v>
      </c>
      <c r="AD27" s="49">
        <v>45018</v>
      </c>
      <c r="AE27" s="49">
        <v>45289</v>
      </c>
      <c r="AF27" s="41" t="s">
        <v>477</v>
      </c>
      <c r="AG27" s="8" t="s">
        <v>86</v>
      </c>
      <c r="AH27" s="8">
        <v>3</v>
      </c>
      <c r="AI27" s="8" t="s">
        <v>87</v>
      </c>
      <c r="AJ27" s="37" t="s">
        <v>65</v>
      </c>
      <c r="AK27" s="8"/>
      <c r="AL27" s="8">
        <v>1</v>
      </c>
      <c r="AM27" s="8">
        <v>1</v>
      </c>
      <c r="AN27" s="8">
        <v>1</v>
      </c>
      <c r="AO27" s="8">
        <f>SUM(AK27:AN27)</f>
        <v>3</v>
      </c>
      <c r="AP27" s="8"/>
      <c r="AQ27" s="8"/>
      <c r="AR27" s="8"/>
      <c r="AS27" s="19"/>
      <c r="AT27" s="19"/>
      <c r="AU27" s="19">
        <v>1</v>
      </c>
      <c r="AV27" s="19"/>
      <c r="AW27" s="19"/>
      <c r="AX27" s="19"/>
      <c r="AY27" s="19"/>
      <c r="AZ27" s="19"/>
      <c r="BA27" s="19"/>
      <c r="BB27" s="8">
        <f>SUM(Tabla14[[#This Row],[Enero ]:[Dic]])</f>
        <v>1</v>
      </c>
      <c r="BC27" s="25">
        <f>IFERROR(IF(AO27=0,"",IF((BB27/AO27)&gt;100%,100%,(BB27/AO27))),"")</f>
        <v>0.33333333333333331</v>
      </c>
      <c r="BD27" s="17">
        <f t="shared" si="3"/>
        <v>8.3333333333333329E-2</v>
      </c>
      <c r="BE27" s="17"/>
      <c r="BF27" s="17"/>
      <c r="BG27" s="17"/>
      <c r="BH27" s="17">
        <v>1</v>
      </c>
      <c r="BI27" s="8" t="s">
        <v>505</v>
      </c>
      <c r="BJ27" s="8" t="s">
        <v>119</v>
      </c>
      <c r="BK27" s="8" t="s">
        <v>120</v>
      </c>
      <c r="BL27" s="8" t="s">
        <v>121</v>
      </c>
    </row>
    <row r="28" spans="1:64" s="2" customFormat="1" x14ac:dyDescent="0.35">
      <c r="A28" s="138"/>
      <c r="B28" s="127"/>
      <c r="C28" s="127"/>
      <c r="D28" s="128"/>
      <c r="E28" s="127"/>
      <c r="F28" s="127"/>
      <c r="G28" s="127"/>
      <c r="H28" s="128"/>
      <c r="I28" s="128"/>
      <c r="J28" s="128"/>
      <c r="K28" s="128"/>
      <c r="L28" s="128"/>
      <c r="M28" s="128"/>
      <c r="N28" s="128"/>
      <c r="O28" s="128"/>
      <c r="P28" s="128"/>
      <c r="Q28" s="129"/>
      <c r="R28" s="130"/>
      <c r="S28" s="130"/>
      <c r="T28" s="130"/>
      <c r="U28" s="129"/>
      <c r="V28" s="131"/>
      <c r="W28" s="128"/>
      <c r="X28" s="128"/>
      <c r="Y28" s="128"/>
      <c r="Z28" s="128"/>
      <c r="AA28" s="128"/>
      <c r="AB28" s="127"/>
      <c r="AC28" s="127"/>
      <c r="AD28" s="139"/>
      <c r="AE28" s="140"/>
      <c r="AF28" s="127"/>
      <c r="AG28" s="128"/>
      <c r="AH28" s="128"/>
      <c r="AI28" s="128"/>
      <c r="AJ28" s="128"/>
      <c r="AK28" s="128"/>
      <c r="AL28" s="128"/>
      <c r="AM28" s="128"/>
      <c r="AN28" s="128"/>
      <c r="AO28" s="128"/>
      <c r="AP28" s="127"/>
      <c r="AQ28" s="127"/>
      <c r="AR28" s="127"/>
      <c r="AS28" s="141"/>
      <c r="AT28" s="141"/>
      <c r="AU28" s="141"/>
      <c r="AV28" s="141"/>
      <c r="AW28" s="141"/>
      <c r="AX28" s="141"/>
      <c r="AY28" s="141"/>
      <c r="AZ28" s="141"/>
      <c r="BA28" s="141"/>
      <c r="BB28" s="127"/>
      <c r="BC28" s="142"/>
      <c r="BD28" s="136">
        <f>SUM(BD24:BD27)</f>
        <v>0.66666666666666663</v>
      </c>
      <c r="BE28" s="136"/>
      <c r="BF28" s="136"/>
      <c r="BG28" s="136"/>
      <c r="BH28" s="135"/>
      <c r="BI28" s="137"/>
      <c r="BJ28" s="137"/>
      <c r="BK28" s="137"/>
      <c r="BL28" s="137"/>
    </row>
    <row r="29" spans="1:64" s="2" customFormat="1" ht="58" x14ac:dyDescent="0.35">
      <c r="A29" s="41" t="s">
        <v>122</v>
      </c>
      <c r="B29" s="41" t="s">
        <v>63</v>
      </c>
      <c r="C29" s="41" t="s">
        <v>68</v>
      </c>
      <c r="D29" s="79"/>
      <c r="E29" s="41" t="s">
        <v>497</v>
      </c>
      <c r="F29" s="37">
        <v>0.26</v>
      </c>
      <c r="G29" s="37" t="s">
        <v>65</v>
      </c>
      <c r="H29" s="8" t="s">
        <v>118</v>
      </c>
      <c r="I29" s="43">
        <v>3</v>
      </c>
      <c r="J29" s="8" t="s">
        <v>87</v>
      </c>
      <c r="K29" s="37" t="s">
        <v>65</v>
      </c>
      <c r="L29" s="8"/>
      <c r="M29" s="8">
        <v>1</v>
      </c>
      <c r="N29" s="8">
        <v>1</v>
      </c>
      <c r="O29" s="8">
        <v>1</v>
      </c>
      <c r="P29" s="8">
        <f>SUM(Tabla14[[#This Row],[TRIM I]:[TRIM IV]])</f>
        <v>3</v>
      </c>
      <c r="Q29" s="8"/>
      <c r="R29" s="19">
        <v>1</v>
      </c>
      <c r="S29" s="19"/>
      <c r="T29" s="19"/>
      <c r="U29" s="8">
        <f>SUM(Tabla14[[#This Row],[TRIM I    ]:[TRIM IV    ]])</f>
        <v>1</v>
      </c>
      <c r="V29" s="25">
        <f>IFERROR(IF(P29=0,"",IF((U29/P29)&gt;100%,100%,(U29/P29))),"")</f>
        <v>0.33333333333333331</v>
      </c>
      <c r="W29" s="8" t="s">
        <v>65</v>
      </c>
      <c r="X29" s="8" t="s">
        <v>65</v>
      </c>
      <c r="Y29" s="8" t="s">
        <v>65</v>
      </c>
      <c r="Z29" s="8" t="s">
        <v>65</v>
      </c>
      <c r="AA29" s="37">
        <v>0.25</v>
      </c>
      <c r="AB29" s="41" t="s">
        <v>497</v>
      </c>
      <c r="AC29" s="41" t="s">
        <v>482</v>
      </c>
      <c r="AD29" s="49">
        <v>45018</v>
      </c>
      <c r="AE29" s="49">
        <v>45289</v>
      </c>
      <c r="AF29" s="41" t="s">
        <v>483</v>
      </c>
      <c r="AG29" s="8" t="s">
        <v>484</v>
      </c>
      <c r="AH29" s="8">
        <v>3</v>
      </c>
      <c r="AI29" s="8" t="s">
        <v>485</v>
      </c>
      <c r="AJ29" s="37" t="s">
        <v>65</v>
      </c>
      <c r="AK29" s="8"/>
      <c r="AL29" s="8">
        <v>1</v>
      </c>
      <c r="AM29" s="8">
        <v>1</v>
      </c>
      <c r="AN29" s="8">
        <v>1</v>
      </c>
      <c r="AO29" s="8">
        <f>SUM(AK29:AN29)</f>
        <v>3</v>
      </c>
      <c r="AP29" s="8"/>
      <c r="AQ29" s="8"/>
      <c r="AR29" s="8"/>
      <c r="AS29" s="19"/>
      <c r="AT29" s="19"/>
      <c r="AU29" s="19">
        <v>1</v>
      </c>
      <c r="AV29" s="19"/>
      <c r="AW29" s="19"/>
      <c r="AX29" s="19"/>
      <c r="AY29" s="19"/>
      <c r="AZ29" s="19"/>
      <c r="BA29" s="19"/>
      <c r="BB29" s="8">
        <f>SUM(Tabla14[[#This Row],[Enero ]:[Dic]])</f>
        <v>1</v>
      </c>
      <c r="BC29" s="25">
        <f>IFERROR(IF(AO29=0,"",IF((BB29/AO29)&gt;100%,100%,(BB29/AO29))),"")</f>
        <v>0.33333333333333331</v>
      </c>
      <c r="BD29" s="17">
        <f t="shared" ref="BD29:BD32" si="4">IFERROR(BC29*AA29,"")</f>
        <v>8.3333333333333329E-2</v>
      </c>
      <c r="BE29" s="17">
        <f>BD33*Tabla14[[#This Row],[Peso porcentual de la Meta de Objetivo]]</f>
        <v>8.666666666666667E-2</v>
      </c>
      <c r="BF29" s="17"/>
      <c r="BG29" s="17">
        <v>1</v>
      </c>
      <c r="BH29" s="17">
        <v>1</v>
      </c>
      <c r="BI29" s="8" t="s">
        <v>505</v>
      </c>
      <c r="BJ29" s="8" t="s">
        <v>119</v>
      </c>
      <c r="BK29" s="8" t="s">
        <v>400</v>
      </c>
      <c r="BL29" s="8" t="s">
        <v>123</v>
      </c>
    </row>
    <row r="30" spans="1:64" s="2" customFormat="1" ht="58" x14ac:dyDescent="0.35">
      <c r="A30" s="41" t="s">
        <v>122</v>
      </c>
      <c r="B30" s="41" t="s">
        <v>63</v>
      </c>
      <c r="C30" s="41" t="s">
        <v>68</v>
      </c>
      <c r="D30" s="17"/>
      <c r="E30" s="41" t="s">
        <v>497</v>
      </c>
      <c r="F30" s="41"/>
      <c r="G30" s="41"/>
      <c r="H30" s="8"/>
      <c r="I30" s="43"/>
      <c r="J30" s="8"/>
      <c r="K30" s="8"/>
      <c r="L30" s="8"/>
      <c r="M30" s="8"/>
      <c r="N30" s="8"/>
      <c r="O30" s="8"/>
      <c r="P30" s="8"/>
      <c r="Q30" s="36"/>
      <c r="R30" s="20"/>
      <c r="S30" s="20"/>
      <c r="T30" s="20"/>
      <c r="U30" s="36"/>
      <c r="V30" s="26"/>
      <c r="W30" s="8" t="s">
        <v>65</v>
      </c>
      <c r="X30" s="8" t="s">
        <v>65</v>
      </c>
      <c r="Y30" s="8" t="s">
        <v>65</v>
      </c>
      <c r="Z30" s="8" t="s">
        <v>65</v>
      </c>
      <c r="AA30" s="37">
        <v>0.25</v>
      </c>
      <c r="AB30" s="56" t="s">
        <v>499</v>
      </c>
      <c r="AC30" s="41" t="s">
        <v>486</v>
      </c>
      <c r="AD30" s="49">
        <v>45018</v>
      </c>
      <c r="AE30" s="49">
        <v>45289</v>
      </c>
      <c r="AF30" s="41" t="s">
        <v>487</v>
      </c>
      <c r="AG30" s="8" t="s">
        <v>473</v>
      </c>
      <c r="AH30" s="8">
        <v>3</v>
      </c>
      <c r="AI30" s="8" t="s">
        <v>474</v>
      </c>
      <c r="AJ30" s="37" t="s">
        <v>65</v>
      </c>
      <c r="AK30" s="8"/>
      <c r="AL30" s="8">
        <v>1</v>
      </c>
      <c r="AM30" s="8">
        <v>1</v>
      </c>
      <c r="AN30" s="8">
        <v>1</v>
      </c>
      <c r="AO30" s="8">
        <f>SUM(AK30:AN30)</f>
        <v>3</v>
      </c>
      <c r="AP30" s="8"/>
      <c r="AQ30" s="8"/>
      <c r="AR30" s="8"/>
      <c r="AS30" s="19"/>
      <c r="AT30" s="19"/>
      <c r="AU30" s="19">
        <v>1</v>
      </c>
      <c r="AV30" s="19"/>
      <c r="AW30" s="19"/>
      <c r="AX30" s="19"/>
      <c r="AY30" s="19"/>
      <c r="AZ30" s="19"/>
      <c r="BA30" s="19"/>
      <c r="BB30" s="8">
        <f>SUM(Tabla14[[#This Row],[Enero ]:[Dic]])</f>
        <v>1</v>
      </c>
      <c r="BC30" s="25">
        <f>IFERROR(IF(AO30=0,"",IF((BB30/AO30)&gt;100%,100%,(BB30/AO30))),"")</f>
        <v>0.33333333333333331</v>
      </c>
      <c r="BD30" s="17">
        <f t="shared" si="4"/>
        <v>8.3333333333333329E-2</v>
      </c>
      <c r="BE30" s="17"/>
      <c r="BF30" s="17"/>
      <c r="BG30" s="17"/>
      <c r="BH30" s="17">
        <v>1</v>
      </c>
      <c r="BI30" s="8" t="s">
        <v>505</v>
      </c>
      <c r="BJ30" s="8" t="s">
        <v>119</v>
      </c>
      <c r="BK30" s="8" t="s">
        <v>120</v>
      </c>
      <c r="BL30" s="8" t="s">
        <v>121</v>
      </c>
    </row>
    <row r="31" spans="1:64" s="2" customFormat="1" ht="58" x14ac:dyDescent="0.35">
      <c r="A31" s="41" t="s">
        <v>122</v>
      </c>
      <c r="B31" s="41" t="s">
        <v>63</v>
      </c>
      <c r="C31" s="41" t="s">
        <v>68</v>
      </c>
      <c r="D31" s="17"/>
      <c r="E31" s="41" t="s">
        <v>497</v>
      </c>
      <c r="F31" s="41"/>
      <c r="G31" s="41"/>
      <c r="H31" s="8"/>
      <c r="I31" s="43"/>
      <c r="J31" s="8"/>
      <c r="K31" s="8"/>
      <c r="L31" s="8"/>
      <c r="M31" s="8"/>
      <c r="N31" s="8"/>
      <c r="O31" s="8"/>
      <c r="P31" s="8"/>
      <c r="Q31" s="36"/>
      <c r="R31" s="20"/>
      <c r="S31" s="20"/>
      <c r="T31" s="20"/>
      <c r="U31" s="36"/>
      <c r="V31" s="26"/>
      <c r="W31" s="8" t="s">
        <v>65</v>
      </c>
      <c r="X31" s="8" t="s">
        <v>65</v>
      </c>
      <c r="Y31" s="8" t="s">
        <v>65</v>
      </c>
      <c r="Z31" s="8" t="s">
        <v>65</v>
      </c>
      <c r="AA31" s="37">
        <v>0.25</v>
      </c>
      <c r="AB31" s="41" t="s">
        <v>500</v>
      </c>
      <c r="AC31" s="41" t="s">
        <v>488</v>
      </c>
      <c r="AD31" s="49">
        <v>45018</v>
      </c>
      <c r="AE31" s="49">
        <v>45289</v>
      </c>
      <c r="AF31" s="41" t="s">
        <v>489</v>
      </c>
      <c r="AG31" s="8" t="s">
        <v>490</v>
      </c>
      <c r="AH31" s="8">
        <v>3</v>
      </c>
      <c r="AI31" s="8" t="s">
        <v>491</v>
      </c>
      <c r="AJ31" s="37" t="s">
        <v>65</v>
      </c>
      <c r="AK31" s="8"/>
      <c r="AL31" s="8">
        <v>1</v>
      </c>
      <c r="AM31" s="8">
        <v>1</v>
      </c>
      <c r="AN31" s="8">
        <v>1</v>
      </c>
      <c r="AO31" s="8">
        <f>SUM(AK31:AN31)</f>
        <v>3</v>
      </c>
      <c r="AP31" s="8"/>
      <c r="AQ31" s="8"/>
      <c r="AR31" s="8"/>
      <c r="AS31" s="19"/>
      <c r="AT31" s="19"/>
      <c r="AU31" s="19">
        <v>1</v>
      </c>
      <c r="AV31" s="19"/>
      <c r="AW31" s="19"/>
      <c r="AX31" s="19"/>
      <c r="AY31" s="19"/>
      <c r="AZ31" s="19"/>
      <c r="BA31" s="19"/>
      <c r="BB31" s="8">
        <f>SUM(Tabla14[[#This Row],[Enero ]:[Dic]])</f>
        <v>1</v>
      </c>
      <c r="BC31" s="25">
        <f>IFERROR(IF(AO31=0,"",IF((BB31/AO31)&gt;100%,100%,(BB31/AO31))),"")</f>
        <v>0.33333333333333331</v>
      </c>
      <c r="BD31" s="17">
        <f t="shared" si="4"/>
        <v>8.3333333333333329E-2</v>
      </c>
      <c r="BE31" s="17"/>
      <c r="BF31" s="17"/>
      <c r="BG31" s="17"/>
      <c r="BH31" s="17">
        <v>1</v>
      </c>
      <c r="BI31" s="8" t="s">
        <v>505</v>
      </c>
      <c r="BJ31" s="8" t="s">
        <v>119</v>
      </c>
      <c r="BK31" s="8" t="s">
        <v>120</v>
      </c>
      <c r="BL31" s="8" t="s">
        <v>121</v>
      </c>
    </row>
    <row r="32" spans="1:64" s="2" customFormat="1" ht="58" x14ac:dyDescent="0.35">
      <c r="A32" s="41" t="s">
        <v>122</v>
      </c>
      <c r="B32" s="41" t="s">
        <v>63</v>
      </c>
      <c r="C32" s="41" t="s">
        <v>68</v>
      </c>
      <c r="D32" s="17"/>
      <c r="E32" s="41" t="s">
        <v>497</v>
      </c>
      <c r="F32" s="41"/>
      <c r="G32" s="41"/>
      <c r="H32" s="8"/>
      <c r="I32" s="43"/>
      <c r="J32" s="8"/>
      <c r="K32" s="8"/>
      <c r="L32" s="8"/>
      <c r="M32" s="8"/>
      <c r="N32" s="8"/>
      <c r="O32" s="8"/>
      <c r="P32" s="8"/>
      <c r="Q32" s="36"/>
      <c r="R32" s="20"/>
      <c r="S32" s="20"/>
      <c r="T32" s="20"/>
      <c r="U32" s="36"/>
      <c r="V32" s="26"/>
      <c r="W32" s="8" t="s">
        <v>65</v>
      </c>
      <c r="X32" s="8" t="s">
        <v>65</v>
      </c>
      <c r="Y32" s="8" t="s">
        <v>65</v>
      </c>
      <c r="Z32" s="8" t="s">
        <v>65</v>
      </c>
      <c r="AA32" s="37">
        <v>0.25</v>
      </c>
      <c r="AB32" s="41" t="s">
        <v>501</v>
      </c>
      <c r="AC32" s="41" t="s">
        <v>492</v>
      </c>
      <c r="AD32" s="49">
        <v>45018</v>
      </c>
      <c r="AE32" s="49">
        <v>45289</v>
      </c>
      <c r="AF32" s="41" t="s">
        <v>477</v>
      </c>
      <c r="AG32" s="8" t="s">
        <v>382</v>
      </c>
      <c r="AH32" s="8">
        <v>3</v>
      </c>
      <c r="AI32" s="8" t="s">
        <v>87</v>
      </c>
      <c r="AJ32" s="37" t="s">
        <v>65</v>
      </c>
      <c r="AK32" s="8"/>
      <c r="AL32" s="8">
        <v>1</v>
      </c>
      <c r="AM32" s="8">
        <v>1</v>
      </c>
      <c r="AN32" s="8">
        <v>1</v>
      </c>
      <c r="AO32" s="8">
        <f>SUM(AK32:AN32)</f>
        <v>3</v>
      </c>
      <c r="AP32" s="8"/>
      <c r="AQ32" s="8"/>
      <c r="AR32" s="8"/>
      <c r="AS32" s="19"/>
      <c r="AT32" s="19"/>
      <c r="AU32" s="19">
        <v>1</v>
      </c>
      <c r="AV32" s="19"/>
      <c r="AW32" s="19"/>
      <c r="AX32" s="19"/>
      <c r="AY32" s="19"/>
      <c r="AZ32" s="19"/>
      <c r="BA32" s="19"/>
      <c r="BB32" s="8">
        <f>SUM(Tabla14[[#This Row],[Enero ]:[Dic]])</f>
        <v>1</v>
      </c>
      <c r="BC32" s="25">
        <f>IFERROR(IF(AO32=0,"",IF((BB32/AO32)&gt;100%,100%,(BB32/AO32))),"")</f>
        <v>0.33333333333333331</v>
      </c>
      <c r="BD32" s="17">
        <f t="shared" si="4"/>
        <v>8.3333333333333329E-2</v>
      </c>
      <c r="BE32" s="17"/>
      <c r="BF32" s="17"/>
      <c r="BG32" s="17"/>
      <c r="BH32" s="17">
        <v>1</v>
      </c>
      <c r="BI32" s="8" t="s">
        <v>505</v>
      </c>
      <c r="BJ32" s="8" t="s">
        <v>119</v>
      </c>
      <c r="BK32" s="8" t="s">
        <v>120</v>
      </c>
      <c r="BL32" s="8" t="s">
        <v>121</v>
      </c>
    </row>
    <row r="33" spans="1:64" s="2" customFormat="1" x14ac:dyDescent="0.35">
      <c r="A33" s="138"/>
      <c r="B33" s="127"/>
      <c r="C33" s="127"/>
      <c r="D33" s="128"/>
      <c r="E33" s="127"/>
      <c r="F33" s="127"/>
      <c r="G33" s="127"/>
      <c r="H33" s="128"/>
      <c r="I33" s="128"/>
      <c r="J33" s="128"/>
      <c r="K33" s="128"/>
      <c r="L33" s="128"/>
      <c r="M33" s="128"/>
      <c r="N33" s="128"/>
      <c r="O33" s="128"/>
      <c r="P33" s="128"/>
      <c r="Q33" s="129"/>
      <c r="R33" s="130"/>
      <c r="S33" s="130"/>
      <c r="T33" s="130"/>
      <c r="U33" s="129"/>
      <c r="V33" s="131"/>
      <c r="W33" s="128"/>
      <c r="X33" s="128"/>
      <c r="Y33" s="128"/>
      <c r="Z33" s="128"/>
      <c r="AA33" s="128"/>
      <c r="AB33" s="127"/>
      <c r="AC33" s="127"/>
      <c r="AD33" s="139"/>
      <c r="AE33" s="140"/>
      <c r="AF33" s="127"/>
      <c r="AG33" s="128"/>
      <c r="AH33" s="128"/>
      <c r="AI33" s="128"/>
      <c r="AJ33" s="128"/>
      <c r="AK33" s="128"/>
      <c r="AL33" s="128"/>
      <c r="AM33" s="128"/>
      <c r="AN33" s="128"/>
      <c r="AO33" s="128"/>
      <c r="AP33" s="127"/>
      <c r="AQ33" s="127"/>
      <c r="AR33" s="127"/>
      <c r="AS33" s="141"/>
      <c r="AT33" s="141"/>
      <c r="AU33" s="141"/>
      <c r="AV33" s="141"/>
      <c r="AW33" s="141"/>
      <c r="AX33" s="141"/>
      <c r="AY33" s="141"/>
      <c r="AZ33" s="141"/>
      <c r="BA33" s="141"/>
      <c r="BB33" s="127"/>
      <c r="BC33" s="142"/>
      <c r="BD33" s="136">
        <f>SUM(BD29:BD32)</f>
        <v>0.33333333333333331</v>
      </c>
      <c r="BE33" s="136"/>
      <c r="BF33" s="136"/>
      <c r="BG33" s="136"/>
      <c r="BH33" s="135"/>
      <c r="BI33" s="137"/>
      <c r="BJ33" s="137"/>
      <c r="BK33" s="137"/>
      <c r="BL33" s="137"/>
    </row>
    <row r="34" spans="1:64" s="2" customFormat="1" ht="58" x14ac:dyDescent="0.35">
      <c r="A34" s="54" t="s">
        <v>62</v>
      </c>
      <c r="B34" s="41" t="s">
        <v>63</v>
      </c>
      <c r="C34" s="41" t="s">
        <v>68</v>
      </c>
      <c r="D34" s="79"/>
      <c r="E34" s="24" t="s">
        <v>498</v>
      </c>
      <c r="F34" s="170">
        <v>0.06</v>
      </c>
      <c r="G34" s="37" t="s">
        <v>65</v>
      </c>
      <c r="H34" s="8" t="s">
        <v>118</v>
      </c>
      <c r="I34" s="43">
        <v>2</v>
      </c>
      <c r="J34" s="8" t="s">
        <v>87</v>
      </c>
      <c r="K34" s="37" t="s">
        <v>65</v>
      </c>
      <c r="L34" s="8"/>
      <c r="M34" s="8">
        <v>1</v>
      </c>
      <c r="N34" s="8"/>
      <c r="O34" s="8">
        <v>1</v>
      </c>
      <c r="P34" s="8">
        <f>SUM(Tabla14[[#This Row],[TRIM I]:[TRIM IV]])</f>
        <v>2</v>
      </c>
      <c r="Q34" s="8"/>
      <c r="R34" s="19">
        <v>1</v>
      </c>
      <c r="S34" s="19"/>
      <c r="T34" s="19"/>
      <c r="U34" s="8">
        <f>SUM(Tabla14[[#This Row],[TRIM I    ]:[TRIM IV    ]])</f>
        <v>1</v>
      </c>
      <c r="V34" s="25">
        <f>IFERROR(IF(P34=0,"",IF((U34/P34)&gt;100%,100%,(U34/P34))),"")</f>
        <v>0.5</v>
      </c>
      <c r="W34" s="8" t="s">
        <v>65</v>
      </c>
      <c r="X34" s="8" t="s">
        <v>65</v>
      </c>
      <c r="Y34" s="8" t="s">
        <v>65</v>
      </c>
      <c r="Z34" s="8" t="s">
        <v>65</v>
      </c>
      <c r="AA34" s="37">
        <v>1</v>
      </c>
      <c r="AB34" s="24" t="s">
        <v>125</v>
      </c>
      <c r="AC34" s="24" t="s">
        <v>495</v>
      </c>
      <c r="AD34" s="49">
        <v>44928</v>
      </c>
      <c r="AE34" s="49">
        <v>45289</v>
      </c>
      <c r="AF34" s="41" t="s">
        <v>126</v>
      </c>
      <c r="AG34" s="8" t="s">
        <v>382</v>
      </c>
      <c r="AH34" s="8">
        <v>2</v>
      </c>
      <c r="AI34" s="8" t="s">
        <v>87</v>
      </c>
      <c r="AJ34" s="37" t="s">
        <v>65</v>
      </c>
      <c r="AK34" s="8"/>
      <c r="AL34" s="8">
        <v>1</v>
      </c>
      <c r="AM34" s="8"/>
      <c r="AN34" s="8">
        <v>1</v>
      </c>
      <c r="AO34" s="8">
        <f>SUM(AK34:AN34)</f>
        <v>2</v>
      </c>
      <c r="AP34" s="8"/>
      <c r="AQ34" s="8"/>
      <c r="AR34" s="8"/>
      <c r="AS34" s="19"/>
      <c r="AT34" s="19"/>
      <c r="AU34" s="19">
        <v>1</v>
      </c>
      <c r="AV34" s="19"/>
      <c r="AW34" s="19"/>
      <c r="AX34" s="19"/>
      <c r="AY34" s="19"/>
      <c r="AZ34" s="19"/>
      <c r="BA34" s="19"/>
      <c r="BB34" s="8">
        <f>SUM(Tabla14[[#This Row],[Enero ]:[Dic]])</f>
        <v>1</v>
      </c>
      <c r="BC34" s="25">
        <f>IFERROR(IF(AO34=0,"",IF((BB34/AO34)&gt;100%,100%,(BB34/AO34))),"")</f>
        <v>0.5</v>
      </c>
      <c r="BD34" s="17">
        <f>IFERROR(BC34*AA34,"")</f>
        <v>0.5</v>
      </c>
      <c r="BE34" s="17">
        <f>BD35*Tabla14[[#This Row],[Peso porcentual de la Meta de Objetivo]]</f>
        <v>0.03</v>
      </c>
      <c r="BF34" s="17"/>
      <c r="BG34" s="17">
        <v>1</v>
      </c>
      <c r="BH34" s="17">
        <v>1</v>
      </c>
      <c r="BI34" s="8" t="s">
        <v>505</v>
      </c>
      <c r="BJ34" s="8" t="s">
        <v>119</v>
      </c>
      <c r="BK34" s="8" t="s">
        <v>120</v>
      </c>
      <c r="BL34" s="8" t="s">
        <v>121</v>
      </c>
    </row>
    <row r="35" spans="1:64" s="2" customFormat="1" x14ac:dyDescent="0.35">
      <c r="A35" s="138"/>
      <c r="B35" s="127"/>
      <c r="C35" s="127"/>
      <c r="D35" s="128"/>
      <c r="E35" s="127"/>
      <c r="F35" s="127"/>
      <c r="G35" s="127"/>
      <c r="H35" s="128"/>
      <c r="I35" s="128"/>
      <c r="J35" s="128"/>
      <c r="K35" s="128"/>
      <c r="L35" s="128"/>
      <c r="M35" s="128"/>
      <c r="N35" s="128"/>
      <c r="O35" s="128"/>
      <c r="P35" s="128"/>
      <c r="Q35" s="129"/>
      <c r="R35" s="130"/>
      <c r="S35" s="130"/>
      <c r="T35" s="130"/>
      <c r="U35" s="129"/>
      <c r="V35" s="131"/>
      <c r="W35" s="128"/>
      <c r="X35" s="128"/>
      <c r="Y35" s="128"/>
      <c r="Z35" s="128"/>
      <c r="AA35" s="128"/>
      <c r="AB35" s="127"/>
      <c r="AC35" s="127"/>
      <c r="AD35" s="139"/>
      <c r="AE35" s="140"/>
      <c r="AF35" s="127"/>
      <c r="AG35" s="128"/>
      <c r="AH35" s="128"/>
      <c r="AI35" s="128"/>
      <c r="AJ35" s="128"/>
      <c r="AK35" s="128"/>
      <c r="AL35" s="128"/>
      <c r="AM35" s="128"/>
      <c r="AN35" s="128"/>
      <c r="AO35" s="128"/>
      <c r="AP35" s="127"/>
      <c r="AQ35" s="127"/>
      <c r="AR35" s="127"/>
      <c r="AS35" s="141"/>
      <c r="AT35" s="141"/>
      <c r="AU35" s="141"/>
      <c r="AV35" s="141"/>
      <c r="AW35" s="141"/>
      <c r="AX35" s="141"/>
      <c r="AY35" s="141"/>
      <c r="AZ35" s="141"/>
      <c r="BA35" s="141"/>
      <c r="BB35" s="127"/>
      <c r="BC35" s="142"/>
      <c r="BD35" s="136">
        <f>SUM(BD34)</f>
        <v>0.5</v>
      </c>
      <c r="BE35" s="136"/>
      <c r="BF35" s="136"/>
      <c r="BG35" s="136"/>
      <c r="BH35" s="135"/>
      <c r="BI35" s="137"/>
      <c r="BJ35" s="137"/>
      <c r="BK35" s="137"/>
      <c r="BL35" s="137"/>
    </row>
    <row r="36" spans="1:64" s="204" customFormat="1" ht="43.5" x14ac:dyDescent="0.35">
      <c r="A36" s="194" t="s">
        <v>62</v>
      </c>
      <c r="B36" s="195" t="s">
        <v>63</v>
      </c>
      <c r="C36" s="195" t="s">
        <v>68</v>
      </c>
      <c r="D36" s="196"/>
      <c r="E36" s="195" t="s">
        <v>246</v>
      </c>
      <c r="F36" s="197">
        <v>0.12</v>
      </c>
      <c r="G36" s="197" t="s">
        <v>65</v>
      </c>
      <c r="H36" s="198" t="s">
        <v>247</v>
      </c>
      <c r="I36" s="198">
        <v>2</v>
      </c>
      <c r="J36" s="198" t="s">
        <v>87</v>
      </c>
      <c r="K36" s="197" t="s">
        <v>65</v>
      </c>
      <c r="L36" s="198"/>
      <c r="M36" s="198">
        <v>1</v>
      </c>
      <c r="N36" s="198"/>
      <c r="O36" s="198">
        <v>1</v>
      </c>
      <c r="P36" s="198">
        <f>SUM(Tabla14[[#This Row],[TRIM I]:[TRIM IV]])</f>
        <v>2</v>
      </c>
      <c r="Q36" s="198"/>
      <c r="R36" s="199">
        <v>1</v>
      </c>
      <c r="S36" s="199"/>
      <c r="T36" s="199"/>
      <c r="U36" s="198">
        <f>SUM(Tabla14[[#This Row],[TRIM I    ]:[TRIM IV    ]])</f>
        <v>1</v>
      </c>
      <c r="V36" s="200">
        <f>IFERROR(IF(P36=0,"",IF((U36/P36)&gt;100%,100%,(U36/P36))),"")</f>
        <v>0.5</v>
      </c>
      <c r="W36" s="198" t="s">
        <v>65</v>
      </c>
      <c r="X36" s="198" t="s">
        <v>65</v>
      </c>
      <c r="Y36" s="198" t="s">
        <v>65</v>
      </c>
      <c r="Z36" s="198" t="s">
        <v>65</v>
      </c>
      <c r="AA36" s="197">
        <v>0.5</v>
      </c>
      <c r="AB36" s="195" t="s">
        <v>248</v>
      </c>
      <c r="AC36" s="195" t="s">
        <v>249</v>
      </c>
      <c r="AD36" s="201">
        <v>44928</v>
      </c>
      <c r="AE36" s="202">
        <v>45289</v>
      </c>
      <c r="AF36" s="195" t="s">
        <v>250</v>
      </c>
      <c r="AG36" s="198" t="s">
        <v>251</v>
      </c>
      <c r="AH36" s="198">
        <v>2</v>
      </c>
      <c r="AI36" s="198" t="s">
        <v>252</v>
      </c>
      <c r="AJ36" s="197" t="s">
        <v>65</v>
      </c>
      <c r="AK36" s="203"/>
      <c r="AL36" s="198"/>
      <c r="AM36" s="198">
        <v>1</v>
      </c>
      <c r="AN36" s="198">
        <v>1</v>
      </c>
      <c r="AO36" s="198">
        <f>SUM(Tabla14[[#This Row],[TRIM I   ]:[TRIM IV     ]])</f>
        <v>2</v>
      </c>
      <c r="AP36" s="198"/>
      <c r="AQ36" s="198"/>
      <c r="AR36" s="198"/>
      <c r="AS36" s="199"/>
      <c r="AT36" s="199"/>
      <c r="AU36" s="199"/>
      <c r="AV36" s="174"/>
      <c r="AW36" s="174"/>
      <c r="AX36" s="174"/>
      <c r="AY36" s="174"/>
      <c r="AZ36" s="174"/>
      <c r="BA36" s="174"/>
      <c r="BB36" s="198">
        <f>SUM(Tabla14[[#This Row],[Enero ]:[Dic]])</f>
        <v>0</v>
      </c>
      <c r="BC36" s="200">
        <f>IFERROR(IF(AO36=0,"",IF((BB36/AO36)&gt;100%,100%,(BB36/AO36))),"")</f>
        <v>0</v>
      </c>
      <c r="BD36" s="200">
        <f t="shared" ref="BD36:BD37" si="5">IFERROR(BC36*AA36,"")</f>
        <v>0</v>
      </c>
      <c r="BE36" s="200">
        <f>BD38*Tabla14[[#This Row],[Peso porcentual de la Meta de Objetivo]]</f>
        <v>0.06</v>
      </c>
      <c r="BF36" s="200"/>
      <c r="BG36" s="200">
        <v>0.99</v>
      </c>
      <c r="BH36" s="200"/>
      <c r="BI36" s="198" t="s">
        <v>505</v>
      </c>
      <c r="BJ36" s="198" t="s">
        <v>507</v>
      </c>
      <c r="BK36" s="198" t="s">
        <v>253</v>
      </c>
      <c r="BL36" s="198" t="s">
        <v>254</v>
      </c>
    </row>
    <row r="37" spans="1:64" s="204" customFormat="1" ht="58" x14ac:dyDescent="0.35">
      <c r="A37" s="194" t="s">
        <v>62</v>
      </c>
      <c r="B37" s="195" t="s">
        <v>63</v>
      </c>
      <c r="C37" s="195" t="s">
        <v>68</v>
      </c>
      <c r="D37" s="200"/>
      <c r="E37" s="195" t="s">
        <v>246</v>
      </c>
      <c r="F37" s="195"/>
      <c r="G37" s="195"/>
      <c r="H37" s="198"/>
      <c r="I37" s="198"/>
      <c r="J37" s="198"/>
      <c r="K37" s="198"/>
      <c r="L37" s="198"/>
      <c r="M37" s="198"/>
      <c r="N37" s="198"/>
      <c r="O37" s="198"/>
      <c r="P37" s="198"/>
      <c r="Q37" s="205"/>
      <c r="R37" s="206"/>
      <c r="S37" s="206"/>
      <c r="T37" s="206"/>
      <c r="U37" s="205"/>
      <c r="V37" s="207"/>
      <c r="W37" s="198" t="s">
        <v>65</v>
      </c>
      <c r="X37" s="198" t="s">
        <v>65</v>
      </c>
      <c r="Y37" s="198" t="s">
        <v>65</v>
      </c>
      <c r="Z37" s="198" t="s">
        <v>65</v>
      </c>
      <c r="AA37" s="197">
        <v>0.5</v>
      </c>
      <c r="AB37" s="195" t="s">
        <v>255</v>
      </c>
      <c r="AC37" s="195" t="s">
        <v>256</v>
      </c>
      <c r="AD37" s="201">
        <v>44928</v>
      </c>
      <c r="AE37" s="202">
        <v>45289</v>
      </c>
      <c r="AF37" s="195" t="s">
        <v>257</v>
      </c>
      <c r="AG37" s="198" t="s">
        <v>258</v>
      </c>
      <c r="AH37" s="208">
        <v>0.7</v>
      </c>
      <c r="AI37" s="203" t="s">
        <v>259</v>
      </c>
      <c r="AJ37" s="197" t="s">
        <v>65</v>
      </c>
      <c r="AK37" s="203"/>
      <c r="AL37" s="197">
        <v>0.7</v>
      </c>
      <c r="AM37" s="203"/>
      <c r="AN37" s="197">
        <v>0.7</v>
      </c>
      <c r="AO37" s="197">
        <v>0.7</v>
      </c>
      <c r="AP37" s="197"/>
      <c r="AQ37" s="197"/>
      <c r="AR37" s="197"/>
      <c r="AS37" s="209"/>
      <c r="AT37" s="209"/>
      <c r="AU37" s="209">
        <f t="shared" ref="AU37" si="6">10/10</f>
        <v>1</v>
      </c>
      <c r="AV37" s="183"/>
      <c r="AW37" s="183"/>
      <c r="AX37" s="183"/>
      <c r="AY37" s="183"/>
      <c r="AZ37" s="183"/>
      <c r="BA37" s="183"/>
      <c r="BB37" s="200">
        <f>AVERAGE(Tabla14[[#This Row],[Enero ]:[Dic]])</f>
        <v>1</v>
      </c>
      <c r="BC37" s="200">
        <f>IFERROR(IF(AO37=0,"",IF((BB37/AO37)&gt;100%,100%,(BB37/AO37))),"")</f>
        <v>1</v>
      </c>
      <c r="BD37" s="200">
        <f t="shared" si="5"/>
        <v>0.5</v>
      </c>
      <c r="BE37" s="200"/>
      <c r="BF37" s="200"/>
      <c r="BG37" s="200"/>
      <c r="BH37" s="200">
        <v>0.99</v>
      </c>
      <c r="BI37" s="198" t="s">
        <v>505</v>
      </c>
      <c r="BJ37" s="198" t="s">
        <v>507</v>
      </c>
      <c r="BK37" s="198" t="s">
        <v>253</v>
      </c>
      <c r="BL37" s="198" t="s">
        <v>254</v>
      </c>
    </row>
    <row r="38" spans="1:64" s="2" customFormat="1" x14ac:dyDescent="0.35">
      <c r="A38" s="138"/>
      <c r="B38" s="127"/>
      <c r="C38" s="127"/>
      <c r="D38" s="128"/>
      <c r="E38" s="127"/>
      <c r="F38" s="127"/>
      <c r="G38" s="127"/>
      <c r="H38" s="128"/>
      <c r="I38" s="128"/>
      <c r="J38" s="128"/>
      <c r="K38" s="128"/>
      <c r="L38" s="128"/>
      <c r="M38" s="128"/>
      <c r="N38" s="128"/>
      <c r="O38" s="128"/>
      <c r="P38" s="128"/>
      <c r="Q38" s="129"/>
      <c r="R38" s="130"/>
      <c r="S38" s="130"/>
      <c r="T38" s="130"/>
      <c r="U38" s="129"/>
      <c r="V38" s="131"/>
      <c r="W38" s="128"/>
      <c r="X38" s="128"/>
      <c r="Y38" s="128"/>
      <c r="Z38" s="128"/>
      <c r="AA38" s="128"/>
      <c r="AB38" s="127"/>
      <c r="AC38" s="127"/>
      <c r="AD38" s="139"/>
      <c r="AE38" s="140"/>
      <c r="AF38" s="127"/>
      <c r="AG38" s="128"/>
      <c r="AH38" s="128"/>
      <c r="AI38" s="128"/>
      <c r="AJ38" s="128"/>
      <c r="AK38" s="128"/>
      <c r="AL38" s="128"/>
      <c r="AM38" s="128"/>
      <c r="AN38" s="128"/>
      <c r="AO38" s="128"/>
      <c r="AP38" s="127"/>
      <c r="AQ38" s="127"/>
      <c r="AR38" s="127"/>
      <c r="AS38" s="141"/>
      <c r="AT38" s="141"/>
      <c r="AU38" s="141"/>
      <c r="AV38" s="141"/>
      <c r="AW38" s="141"/>
      <c r="AX38" s="141"/>
      <c r="AY38" s="141"/>
      <c r="AZ38" s="141"/>
      <c r="BA38" s="141"/>
      <c r="BB38" s="127"/>
      <c r="BC38" s="142"/>
      <c r="BD38" s="136">
        <f>SUM(BD36:BD37)</f>
        <v>0.5</v>
      </c>
      <c r="BE38" s="136"/>
      <c r="BF38" s="136"/>
      <c r="BG38" s="136"/>
      <c r="BH38" s="135"/>
      <c r="BI38" s="137"/>
      <c r="BJ38" s="137"/>
      <c r="BK38" s="137"/>
      <c r="BL38" s="137"/>
    </row>
    <row r="39" spans="1:64" s="2" customFormat="1" ht="87" x14ac:dyDescent="0.35">
      <c r="A39" s="54" t="s">
        <v>62</v>
      </c>
      <c r="B39" s="41" t="s">
        <v>63</v>
      </c>
      <c r="C39" s="41" t="s">
        <v>68</v>
      </c>
      <c r="D39" s="79"/>
      <c r="E39" s="41" t="s">
        <v>260</v>
      </c>
      <c r="F39" s="37">
        <v>0.06</v>
      </c>
      <c r="G39" s="37" t="s">
        <v>65</v>
      </c>
      <c r="H39" s="8" t="s">
        <v>261</v>
      </c>
      <c r="I39" s="8">
        <v>53</v>
      </c>
      <c r="J39" s="8" t="s">
        <v>262</v>
      </c>
      <c r="K39" s="37" t="s">
        <v>65</v>
      </c>
      <c r="L39" s="8">
        <v>9</v>
      </c>
      <c r="M39" s="8">
        <v>19</v>
      </c>
      <c r="N39" s="8">
        <v>15</v>
      </c>
      <c r="O39" s="8">
        <v>10</v>
      </c>
      <c r="P39" s="8">
        <f>SUM(Tabla14[[#This Row],[TRIM I]:[TRIM IV]])</f>
        <v>53</v>
      </c>
      <c r="Q39" s="8">
        <v>17</v>
      </c>
      <c r="R39" s="19">
        <v>14</v>
      </c>
      <c r="S39" s="19"/>
      <c r="T39" s="19"/>
      <c r="U39" s="8">
        <f>SUM(Tabla14[[#This Row],[TRIM I    ]:[TRIM IV    ]])</f>
        <v>31</v>
      </c>
      <c r="V39" s="17">
        <f>IFERROR(IF(P39=0,"",IF((U39/P39)&gt;100%,100%,(U39/P39))),"")</f>
        <v>0.58490566037735847</v>
      </c>
      <c r="W39" s="8" t="s">
        <v>65</v>
      </c>
      <c r="X39" s="8" t="s">
        <v>65</v>
      </c>
      <c r="Y39" s="8" t="s">
        <v>65</v>
      </c>
      <c r="Z39" s="8" t="s">
        <v>65</v>
      </c>
      <c r="AA39" s="17">
        <v>1</v>
      </c>
      <c r="AB39" s="41" t="s">
        <v>403</v>
      </c>
      <c r="AC39" s="41" t="s">
        <v>404</v>
      </c>
      <c r="AD39" s="42">
        <v>44928</v>
      </c>
      <c r="AE39" s="42">
        <v>45289</v>
      </c>
      <c r="AF39" s="41" t="s">
        <v>405</v>
      </c>
      <c r="AG39" s="8" t="s">
        <v>406</v>
      </c>
      <c r="AH39" s="8">
        <v>53</v>
      </c>
      <c r="AI39" s="8" t="s">
        <v>87</v>
      </c>
      <c r="AJ39" s="37" t="s">
        <v>65</v>
      </c>
      <c r="AK39" s="53">
        <v>9</v>
      </c>
      <c r="AL39" s="53">
        <v>19</v>
      </c>
      <c r="AM39" s="53">
        <v>15</v>
      </c>
      <c r="AN39" s="53">
        <v>10</v>
      </c>
      <c r="AO39" s="8">
        <f>SUM(Tabla14[[#This Row],[TRIM I   ]:[TRIM IV     ]])</f>
        <v>53</v>
      </c>
      <c r="AP39" s="8">
        <v>2</v>
      </c>
      <c r="AQ39" s="8">
        <v>7</v>
      </c>
      <c r="AR39" s="8">
        <v>8</v>
      </c>
      <c r="AS39" s="19">
        <v>4</v>
      </c>
      <c r="AT39" s="19">
        <v>6</v>
      </c>
      <c r="AU39" s="19">
        <v>4</v>
      </c>
      <c r="AV39" s="19"/>
      <c r="AW39" s="19"/>
      <c r="AX39" s="19"/>
      <c r="AY39" s="19"/>
      <c r="AZ39" s="19"/>
      <c r="BA39" s="19"/>
      <c r="BB39" s="8">
        <f>SUM(Tabla14[[#This Row],[Enero ]:[Dic]])</f>
        <v>31</v>
      </c>
      <c r="BC39" s="17">
        <f>IFERROR(IF(AO39=0,"",IF((BB39/AO39)&gt;100%,100%,(BB39/AO39))),"")</f>
        <v>0.58490566037735847</v>
      </c>
      <c r="BD39" s="17">
        <f>IFERROR(BC39*AA39,"")</f>
        <v>0.58490566037735847</v>
      </c>
      <c r="BE39" s="17">
        <f>BD40*Tabla14[[#This Row],[Peso porcentual de la Meta de Objetivo]]</f>
        <v>3.509433962264151E-2</v>
      </c>
      <c r="BF39" s="17"/>
      <c r="BG39" s="17">
        <v>1</v>
      </c>
      <c r="BH39" s="17">
        <v>1</v>
      </c>
      <c r="BI39" s="8" t="s">
        <v>263</v>
      </c>
      <c r="BJ39" s="8" t="s">
        <v>508</v>
      </c>
      <c r="BK39" s="8" t="s">
        <v>264</v>
      </c>
      <c r="BL39" s="8" t="s">
        <v>265</v>
      </c>
    </row>
    <row r="40" spans="1:64" s="2" customFormat="1" x14ac:dyDescent="0.35">
      <c r="A40" s="138"/>
      <c r="B40" s="127"/>
      <c r="C40" s="127"/>
      <c r="D40" s="128"/>
      <c r="E40" s="127"/>
      <c r="F40" s="127"/>
      <c r="G40" s="127"/>
      <c r="H40" s="128"/>
      <c r="I40" s="128"/>
      <c r="J40" s="128"/>
      <c r="K40" s="128"/>
      <c r="L40" s="128"/>
      <c r="M40" s="128"/>
      <c r="N40" s="128"/>
      <c r="O40" s="128"/>
      <c r="P40" s="128"/>
      <c r="Q40" s="129"/>
      <c r="R40" s="130"/>
      <c r="S40" s="130"/>
      <c r="T40" s="130"/>
      <c r="U40" s="129"/>
      <c r="V40" s="131"/>
      <c r="W40" s="128"/>
      <c r="X40" s="128"/>
      <c r="Y40" s="128"/>
      <c r="Z40" s="128"/>
      <c r="AA40" s="128"/>
      <c r="AB40" s="127"/>
      <c r="AC40" s="127"/>
      <c r="AD40" s="139"/>
      <c r="AE40" s="140"/>
      <c r="AF40" s="127"/>
      <c r="AG40" s="128"/>
      <c r="AH40" s="128"/>
      <c r="AI40" s="128"/>
      <c r="AJ40" s="128"/>
      <c r="AK40" s="128"/>
      <c r="AL40" s="128"/>
      <c r="AM40" s="128"/>
      <c r="AN40" s="128"/>
      <c r="AO40" s="128"/>
      <c r="AP40" s="127"/>
      <c r="AQ40" s="127"/>
      <c r="AR40" s="127"/>
      <c r="AS40" s="141"/>
      <c r="AT40" s="141"/>
      <c r="AU40" s="141"/>
      <c r="AV40" s="141"/>
      <c r="AW40" s="141"/>
      <c r="AX40" s="141"/>
      <c r="AY40" s="141"/>
      <c r="AZ40" s="141"/>
      <c r="BA40" s="141"/>
      <c r="BB40" s="127"/>
      <c r="BC40" s="142"/>
      <c r="BD40" s="136">
        <f>SUM(BD39)</f>
        <v>0.58490566037735847</v>
      </c>
      <c r="BE40" s="136"/>
      <c r="BF40" s="136"/>
      <c r="BG40" s="136"/>
      <c r="BH40" s="135"/>
      <c r="BI40" s="137"/>
      <c r="BJ40" s="137"/>
      <c r="BK40" s="137"/>
      <c r="BL40" s="137"/>
    </row>
    <row r="41" spans="1:64" ht="43.5" x14ac:dyDescent="0.35">
      <c r="A41" s="54" t="s">
        <v>115</v>
      </c>
      <c r="B41" s="54" t="s">
        <v>116</v>
      </c>
      <c r="C41" s="41" t="s">
        <v>117</v>
      </c>
      <c r="D41" s="79"/>
      <c r="E41" s="41" t="s">
        <v>298</v>
      </c>
      <c r="F41" s="37">
        <v>0.22</v>
      </c>
      <c r="G41" s="37" t="s">
        <v>65</v>
      </c>
      <c r="H41" s="57" t="s">
        <v>299</v>
      </c>
      <c r="I41" s="8">
        <v>4</v>
      </c>
      <c r="J41" s="57" t="s">
        <v>87</v>
      </c>
      <c r="K41" s="37" t="s">
        <v>65</v>
      </c>
      <c r="L41" s="47"/>
      <c r="M41" s="8">
        <v>1</v>
      </c>
      <c r="N41" s="8">
        <v>1</v>
      </c>
      <c r="O41" s="8">
        <v>2</v>
      </c>
      <c r="P41" s="8">
        <f>SUM(Tabla14[[#This Row],[TRIM I]:[TRIM IV]])</f>
        <v>4</v>
      </c>
      <c r="Q41" s="8"/>
      <c r="R41" s="19">
        <v>1</v>
      </c>
      <c r="S41" s="19"/>
      <c r="T41" s="19"/>
      <c r="U41" s="8">
        <f>SUM(Tabla14[[#This Row],[TRIM I    ]:[TRIM IV    ]])</f>
        <v>1</v>
      </c>
      <c r="V41" s="17">
        <f>IFERROR(IF(P41=0,"",IF((U41/P41)&gt;100%,100%,(U41/P41))),"")</f>
        <v>0.25</v>
      </c>
      <c r="W41" s="8" t="s">
        <v>65</v>
      </c>
      <c r="X41" s="8" t="s">
        <v>65</v>
      </c>
      <c r="Y41" s="8" t="s">
        <v>65</v>
      </c>
      <c r="Z41" s="8" t="s">
        <v>65</v>
      </c>
      <c r="AA41" s="37">
        <v>0.5</v>
      </c>
      <c r="AB41" s="41" t="s">
        <v>300</v>
      </c>
      <c r="AC41" s="41" t="s">
        <v>301</v>
      </c>
      <c r="AD41" s="49">
        <v>45015</v>
      </c>
      <c r="AE41" s="49">
        <v>45306</v>
      </c>
      <c r="AF41" s="41" t="s">
        <v>302</v>
      </c>
      <c r="AG41" s="8" t="s">
        <v>303</v>
      </c>
      <c r="AH41" s="53">
        <v>2</v>
      </c>
      <c r="AI41" s="53" t="s">
        <v>87</v>
      </c>
      <c r="AJ41" s="37" t="s">
        <v>65</v>
      </c>
      <c r="AK41" s="53"/>
      <c r="AL41" s="53">
        <v>1</v>
      </c>
      <c r="AM41" s="53"/>
      <c r="AN41" s="53">
        <v>1</v>
      </c>
      <c r="AO41" s="8">
        <f>SUM(Tabla14[[#This Row],[TRIM I   ]:[TRIM IV     ]])</f>
        <v>2</v>
      </c>
      <c r="AP41" s="8"/>
      <c r="AQ41" s="8"/>
      <c r="AR41" s="8"/>
      <c r="AS41" s="19"/>
      <c r="AT41" s="19"/>
      <c r="AU41" s="19">
        <v>1</v>
      </c>
      <c r="AV41" s="19"/>
      <c r="AW41" s="19"/>
      <c r="AX41" s="19"/>
      <c r="AY41" s="19"/>
      <c r="AZ41" s="19"/>
      <c r="BA41" s="19"/>
      <c r="BB41" s="8">
        <f>SUM(Tabla14[[#This Row],[Enero ]:[Dic]])</f>
        <v>1</v>
      </c>
      <c r="BC41" s="17">
        <f>IFERROR(IF(AO41=0,"",IF((BB41/AO41)&gt;100%,100%,(BB41/AO41))),"")</f>
        <v>0.5</v>
      </c>
      <c r="BD41" s="17">
        <f t="shared" ref="BD41:BD42" si="7">IFERROR(BC41*AA41,"")</f>
        <v>0.25</v>
      </c>
      <c r="BE41" s="17">
        <f>BD43*Tabla14[[#This Row],[Peso porcentual de la Meta de Objetivo]]</f>
        <v>5.5E-2</v>
      </c>
      <c r="BF41" s="17"/>
      <c r="BG41" s="17">
        <v>1</v>
      </c>
      <c r="BH41" s="17">
        <v>1</v>
      </c>
      <c r="BI41" s="28" t="s">
        <v>308</v>
      </c>
      <c r="BJ41" s="28" t="s">
        <v>509</v>
      </c>
      <c r="BK41" s="8" t="s">
        <v>304</v>
      </c>
      <c r="BL41" s="8" t="s">
        <v>305</v>
      </c>
    </row>
    <row r="42" spans="1:64" ht="43.5" x14ac:dyDescent="0.35">
      <c r="A42" s="54" t="s">
        <v>115</v>
      </c>
      <c r="B42" s="54" t="s">
        <v>116</v>
      </c>
      <c r="C42" s="41" t="s">
        <v>117</v>
      </c>
      <c r="D42" s="17"/>
      <c r="E42" s="41" t="s">
        <v>298</v>
      </c>
      <c r="F42" s="41"/>
      <c r="G42" s="41"/>
      <c r="H42" s="57"/>
      <c r="I42" s="8"/>
      <c r="J42" s="57"/>
      <c r="K42" s="57"/>
      <c r="L42" s="47"/>
      <c r="M42" s="8"/>
      <c r="N42" s="8"/>
      <c r="O42" s="8"/>
      <c r="P42" s="8"/>
      <c r="Q42" s="8"/>
      <c r="R42" s="19"/>
      <c r="S42" s="19"/>
      <c r="T42" s="19"/>
      <c r="U42" s="8"/>
      <c r="V42" s="37"/>
      <c r="W42" s="8" t="s">
        <v>65</v>
      </c>
      <c r="X42" s="8" t="s">
        <v>65</v>
      </c>
      <c r="Y42" s="8" t="s">
        <v>65</v>
      </c>
      <c r="Z42" s="8" t="s">
        <v>65</v>
      </c>
      <c r="AA42" s="37">
        <v>0.5</v>
      </c>
      <c r="AB42" s="41" t="s">
        <v>407</v>
      </c>
      <c r="AC42" s="41" t="s">
        <v>408</v>
      </c>
      <c r="AD42" s="49">
        <v>45015</v>
      </c>
      <c r="AE42" s="49">
        <v>45289</v>
      </c>
      <c r="AF42" s="41" t="s">
        <v>306</v>
      </c>
      <c r="AG42" s="8" t="s">
        <v>303</v>
      </c>
      <c r="AH42" s="53">
        <v>2</v>
      </c>
      <c r="AI42" s="53" t="s">
        <v>87</v>
      </c>
      <c r="AJ42" s="37" t="s">
        <v>65</v>
      </c>
      <c r="AK42" s="53"/>
      <c r="AL42" s="53"/>
      <c r="AM42" s="53">
        <v>1</v>
      </c>
      <c r="AN42" s="53">
        <v>1</v>
      </c>
      <c r="AO42" s="8">
        <f>SUM(Tabla14[[#This Row],[TRIM I   ]:[TRIM IV     ]])</f>
        <v>2</v>
      </c>
      <c r="AP42" s="8"/>
      <c r="AQ42" s="8"/>
      <c r="AR42" s="8"/>
      <c r="AS42" s="19"/>
      <c r="AT42" s="19"/>
      <c r="AU42" s="19"/>
      <c r="AV42" s="19"/>
      <c r="AW42" s="19"/>
      <c r="AX42" s="19"/>
      <c r="AY42" s="19"/>
      <c r="AZ42" s="19"/>
      <c r="BA42" s="19"/>
      <c r="BB42" s="8">
        <f>SUM(Tabla14[[#This Row],[Enero ]:[Dic]])</f>
        <v>0</v>
      </c>
      <c r="BC42" s="17">
        <f>IFERROR(IF(AO42=0,"",IF((BB42/AO42)&gt;100%,100%,(BB42/AO42))),"")</f>
        <v>0</v>
      </c>
      <c r="BD42" s="17">
        <f t="shared" si="7"/>
        <v>0</v>
      </c>
      <c r="BE42" s="17"/>
      <c r="BF42" s="17"/>
      <c r="BG42" s="17"/>
      <c r="BH42" s="17"/>
      <c r="BI42" s="28" t="s">
        <v>308</v>
      </c>
      <c r="BJ42" s="28" t="s">
        <v>509</v>
      </c>
      <c r="BK42" s="8" t="s">
        <v>307</v>
      </c>
      <c r="BL42" s="8" t="s">
        <v>305</v>
      </c>
    </row>
    <row r="43" spans="1:64" x14ac:dyDescent="0.35">
      <c r="A43" s="138"/>
      <c r="B43" s="138"/>
      <c r="C43" s="127"/>
      <c r="D43" s="128"/>
      <c r="E43" s="127"/>
      <c r="F43" s="127"/>
      <c r="G43" s="127"/>
      <c r="H43" s="128"/>
      <c r="I43" s="128"/>
      <c r="J43" s="128"/>
      <c r="K43" s="128"/>
      <c r="L43" s="128"/>
      <c r="M43" s="128"/>
      <c r="N43" s="128"/>
      <c r="O43" s="128"/>
      <c r="P43" s="128"/>
      <c r="Q43" s="129"/>
      <c r="R43" s="130"/>
      <c r="S43" s="130"/>
      <c r="T43" s="130"/>
      <c r="U43" s="129"/>
      <c r="V43" s="131"/>
      <c r="W43" s="128"/>
      <c r="X43" s="128"/>
      <c r="Y43" s="128"/>
      <c r="Z43" s="128"/>
      <c r="AA43" s="128"/>
      <c r="AB43" s="138"/>
      <c r="AC43" s="138"/>
      <c r="AD43" s="137"/>
      <c r="AE43" s="137"/>
      <c r="AF43" s="138"/>
      <c r="AG43" s="137"/>
      <c r="AH43" s="137"/>
      <c r="AI43" s="137"/>
      <c r="AJ43" s="137"/>
      <c r="AK43" s="137"/>
      <c r="AL43" s="137"/>
      <c r="AM43" s="137"/>
      <c r="AN43" s="137"/>
      <c r="AO43" s="137"/>
      <c r="AP43" s="143"/>
      <c r="AQ43" s="143"/>
      <c r="AR43" s="143"/>
      <c r="AS43" s="144"/>
      <c r="AT43" s="144"/>
      <c r="AU43" s="144"/>
      <c r="AV43" s="144"/>
      <c r="AW43" s="144"/>
      <c r="AX43" s="144"/>
      <c r="AY43" s="144"/>
      <c r="AZ43" s="144"/>
      <c r="BA43" s="144"/>
      <c r="BB43" s="143"/>
      <c r="BC43" s="145"/>
      <c r="BD43" s="146">
        <f>SUM(BD41:BD42)</f>
        <v>0.25</v>
      </c>
      <c r="BE43" s="136"/>
      <c r="BF43" s="136"/>
      <c r="BG43" s="136"/>
      <c r="BH43" s="135"/>
      <c r="BI43" s="137"/>
      <c r="BJ43" s="137"/>
      <c r="BK43" s="137"/>
      <c r="BL43" s="137"/>
    </row>
    <row r="44" spans="1:64" ht="87" x14ac:dyDescent="0.35">
      <c r="A44" s="54" t="s">
        <v>62</v>
      </c>
      <c r="B44" s="41" t="s">
        <v>63</v>
      </c>
      <c r="C44" s="41" t="s">
        <v>68</v>
      </c>
      <c r="D44" s="79"/>
      <c r="E44" s="41" t="s">
        <v>401</v>
      </c>
      <c r="F44" s="37">
        <v>0.06</v>
      </c>
      <c r="G44" s="37" t="s">
        <v>65</v>
      </c>
      <c r="H44" s="8" t="s">
        <v>124</v>
      </c>
      <c r="I44" s="8">
        <v>4</v>
      </c>
      <c r="J44" s="8" t="s">
        <v>87</v>
      </c>
      <c r="K44" s="37" t="s">
        <v>65</v>
      </c>
      <c r="L44" s="43">
        <v>1</v>
      </c>
      <c r="M44" s="43">
        <v>1</v>
      </c>
      <c r="N44" s="43">
        <v>1</v>
      </c>
      <c r="O44" s="43">
        <v>1</v>
      </c>
      <c r="P44" s="8">
        <f>SUM(Tabla14[[#This Row],[TRIM I]:[TRIM IV]])</f>
        <v>4</v>
      </c>
      <c r="Q44" s="8">
        <v>1</v>
      </c>
      <c r="R44" s="19">
        <v>1</v>
      </c>
      <c r="S44" s="19"/>
      <c r="T44" s="19"/>
      <c r="U44" s="8">
        <f>SUM(Tabla14[[#This Row],[TRIM I    ]:[TRIM IV    ]])</f>
        <v>2</v>
      </c>
      <c r="V44" s="17">
        <f>IFERROR(IF(P44=0,"",IF((U44/P44)&gt;100%,100%,(U44/P44))),"")</f>
        <v>0.5</v>
      </c>
      <c r="W44" s="8" t="s">
        <v>65</v>
      </c>
      <c r="X44" s="8" t="s">
        <v>65</v>
      </c>
      <c r="Y44" s="8" t="s">
        <v>65</v>
      </c>
      <c r="Z44" s="8" t="s">
        <v>65</v>
      </c>
      <c r="AA44" s="37">
        <v>1</v>
      </c>
      <c r="AB44" s="41" t="s">
        <v>127</v>
      </c>
      <c r="AC44" s="41" t="s">
        <v>402</v>
      </c>
      <c r="AD44" s="49">
        <v>44958</v>
      </c>
      <c r="AE44" s="49">
        <v>45289</v>
      </c>
      <c r="AF44" s="41" t="s">
        <v>128</v>
      </c>
      <c r="AG44" s="8" t="s">
        <v>382</v>
      </c>
      <c r="AH44" s="8">
        <v>4</v>
      </c>
      <c r="AI44" s="8" t="s">
        <v>87</v>
      </c>
      <c r="AJ44" s="37" t="s">
        <v>65</v>
      </c>
      <c r="AK44" s="8">
        <v>1</v>
      </c>
      <c r="AL44" s="8">
        <v>1</v>
      </c>
      <c r="AM44" s="8">
        <v>1</v>
      </c>
      <c r="AN44" s="8">
        <v>1</v>
      </c>
      <c r="AO44" s="8">
        <f>SUM(Tabla14[[#This Row],[TRIM I   ]:[TRIM IV     ]])</f>
        <v>4</v>
      </c>
      <c r="AP44" s="8"/>
      <c r="AQ44" s="8"/>
      <c r="AR44" s="8">
        <v>1</v>
      </c>
      <c r="AS44" s="19"/>
      <c r="AT44" s="19"/>
      <c r="AU44" s="19">
        <v>1</v>
      </c>
      <c r="AV44" s="19"/>
      <c r="AW44" s="19"/>
      <c r="AX44" s="19"/>
      <c r="AY44" s="19"/>
      <c r="AZ44" s="19"/>
      <c r="BA44" s="19"/>
      <c r="BB44" s="8">
        <f>SUM(Tabla14[[#This Row],[Enero ]:[Dic]])</f>
        <v>2</v>
      </c>
      <c r="BC44" s="17">
        <f>IFERROR(IF(AO44=0,"",IF((BB44/AO44)&gt;100%,100%,(BB44/AO44))),"")</f>
        <v>0.5</v>
      </c>
      <c r="BD44" s="17">
        <f>IFERROR(BC44*AA44,"")</f>
        <v>0.5</v>
      </c>
      <c r="BE44" s="17">
        <f>BD45*Tabla14[[#This Row],[Peso porcentual de la Meta de Objetivo]]</f>
        <v>0.03</v>
      </c>
      <c r="BF44" s="17"/>
      <c r="BG44" s="17">
        <v>1</v>
      </c>
      <c r="BH44" s="17">
        <v>1</v>
      </c>
      <c r="BI44" s="8" t="s">
        <v>308</v>
      </c>
      <c r="BJ44" s="8" t="s">
        <v>510</v>
      </c>
      <c r="BK44" s="8" t="s">
        <v>493</v>
      </c>
      <c r="BL44" s="8" t="s">
        <v>494</v>
      </c>
    </row>
    <row r="45" spans="1:64" x14ac:dyDescent="0.35">
      <c r="A45" s="138"/>
      <c r="B45" s="138"/>
      <c r="C45" s="127"/>
      <c r="D45" s="128"/>
      <c r="E45" s="127"/>
      <c r="F45" s="127"/>
      <c r="G45" s="127"/>
      <c r="H45" s="128"/>
      <c r="I45" s="128"/>
      <c r="J45" s="128"/>
      <c r="K45" s="128"/>
      <c r="L45" s="128"/>
      <c r="M45" s="128"/>
      <c r="N45" s="128"/>
      <c r="O45" s="128"/>
      <c r="P45" s="128"/>
      <c r="Q45" s="129"/>
      <c r="R45" s="130"/>
      <c r="S45" s="130"/>
      <c r="T45" s="130"/>
      <c r="U45" s="129"/>
      <c r="V45" s="131"/>
      <c r="W45" s="128"/>
      <c r="X45" s="128"/>
      <c r="Y45" s="128"/>
      <c r="Z45" s="128"/>
      <c r="AA45" s="128"/>
      <c r="AB45" s="127"/>
      <c r="AC45" s="138"/>
      <c r="AD45" s="137"/>
      <c r="AE45" s="137"/>
      <c r="AF45" s="138"/>
      <c r="AG45" s="137"/>
      <c r="AH45" s="137"/>
      <c r="AI45" s="137"/>
      <c r="AJ45" s="137"/>
      <c r="AK45" s="137"/>
      <c r="AL45" s="137"/>
      <c r="AM45" s="137"/>
      <c r="AN45" s="137"/>
      <c r="AO45" s="137"/>
      <c r="AP45" s="143"/>
      <c r="AQ45" s="143"/>
      <c r="AR45" s="143"/>
      <c r="AS45" s="144"/>
      <c r="AT45" s="144"/>
      <c r="AU45" s="144"/>
      <c r="AV45" s="144"/>
      <c r="AW45" s="144"/>
      <c r="AX45" s="144"/>
      <c r="AY45" s="144"/>
      <c r="AZ45" s="144"/>
      <c r="BA45" s="144"/>
      <c r="BB45" s="143"/>
      <c r="BC45" s="145"/>
      <c r="BD45" s="147">
        <f>SUM(BD44)</f>
        <v>0.5</v>
      </c>
      <c r="BE45" s="148"/>
      <c r="BF45" s="148"/>
      <c r="BG45" s="148"/>
      <c r="BH45" s="135"/>
      <c r="BI45" s="137"/>
      <c r="BJ45" s="137"/>
      <c r="BK45" s="137"/>
      <c r="BL45" s="137"/>
    </row>
    <row r="46" spans="1:64" s="3" customFormat="1" ht="43.5" x14ac:dyDescent="0.35">
      <c r="A46" s="194" t="s">
        <v>62</v>
      </c>
      <c r="B46" s="195" t="s">
        <v>63</v>
      </c>
      <c r="C46" s="195" t="s">
        <v>68</v>
      </c>
      <c r="D46" s="196"/>
      <c r="E46" s="195" t="s">
        <v>309</v>
      </c>
      <c r="F46" s="197">
        <v>0.12</v>
      </c>
      <c r="G46" s="197" t="s">
        <v>65</v>
      </c>
      <c r="H46" s="217" t="s">
        <v>310</v>
      </c>
      <c r="I46" s="198">
        <v>2</v>
      </c>
      <c r="J46" s="217" t="s">
        <v>87</v>
      </c>
      <c r="K46" s="197" t="s">
        <v>65</v>
      </c>
      <c r="L46" s="218"/>
      <c r="M46" s="198">
        <v>1</v>
      </c>
      <c r="N46" s="198"/>
      <c r="O46" s="198">
        <v>1</v>
      </c>
      <c r="P46" s="198">
        <f>SUM(Tabla14[[#This Row],[TRIM I]:[TRIM IV]])</f>
        <v>2</v>
      </c>
      <c r="Q46" s="198"/>
      <c r="R46" s="199">
        <v>1</v>
      </c>
      <c r="S46" s="199"/>
      <c r="T46" s="199"/>
      <c r="U46" s="198">
        <f>SUM(Tabla14[[#This Row],[TRIM I    ]:[TRIM IV    ]])</f>
        <v>1</v>
      </c>
      <c r="V46" s="200">
        <f>IFERROR(IF(P46=0,"",IF((U46/P46)&gt;100%,100%,(U46/P46))),"")</f>
        <v>0.5</v>
      </c>
      <c r="W46" s="198" t="s">
        <v>65</v>
      </c>
      <c r="X46" s="198" t="s">
        <v>65</v>
      </c>
      <c r="Y46" s="198" t="s">
        <v>65</v>
      </c>
      <c r="Z46" s="198" t="s">
        <v>65</v>
      </c>
      <c r="AA46" s="197">
        <v>0.5</v>
      </c>
      <c r="AB46" s="195" t="s">
        <v>311</v>
      </c>
      <c r="AC46" s="195" t="s">
        <v>312</v>
      </c>
      <c r="AD46" s="201">
        <v>44928</v>
      </c>
      <c r="AE46" s="201">
        <v>45289</v>
      </c>
      <c r="AF46" s="195" t="s">
        <v>313</v>
      </c>
      <c r="AG46" s="198" t="s">
        <v>314</v>
      </c>
      <c r="AH46" s="197">
        <v>1</v>
      </c>
      <c r="AI46" s="198" t="s">
        <v>385</v>
      </c>
      <c r="AJ46" s="197" t="s">
        <v>65</v>
      </c>
      <c r="AK46" s="197">
        <v>1</v>
      </c>
      <c r="AL46" s="197">
        <v>1</v>
      </c>
      <c r="AM46" s="197">
        <v>1</v>
      </c>
      <c r="AN46" s="197">
        <v>1</v>
      </c>
      <c r="AO46" s="197">
        <v>1</v>
      </c>
      <c r="AP46" s="197"/>
      <c r="AQ46" s="197">
        <f>5/5</f>
        <v>1</v>
      </c>
      <c r="AR46" s="197">
        <f>29/29</f>
        <v>1</v>
      </c>
      <c r="AS46" s="209">
        <f>15/15</f>
        <v>1</v>
      </c>
      <c r="AT46" s="209">
        <f>9/9</f>
        <v>1</v>
      </c>
      <c r="AU46" s="209">
        <f>15/15</f>
        <v>1</v>
      </c>
      <c r="AV46" s="62"/>
      <c r="AW46" s="62"/>
      <c r="AX46" s="62"/>
      <c r="AY46" s="62"/>
      <c r="AZ46" s="62"/>
      <c r="BA46" s="62"/>
      <c r="BB46" s="200">
        <f>AVERAGE(Tabla14[[#This Row],[Enero ]:[Dic]])</f>
        <v>1</v>
      </c>
      <c r="BC46" s="200">
        <f>IFERROR(IF(AO46=0,"",IF((BB46/AO46)&gt;100%,100%,(BB46/AO46))),"")</f>
        <v>1</v>
      </c>
      <c r="BD46" s="200">
        <f t="shared" ref="BD46:BD47" si="8">IFERROR(BC46*AA46,"")</f>
        <v>0.5</v>
      </c>
      <c r="BE46" s="200">
        <f>BD48*Tabla14[[#This Row],[Peso porcentual de la Meta de Objetivo]]</f>
        <v>0.12</v>
      </c>
      <c r="BF46" s="200"/>
      <c r="BG46" s="200">
        <v>1</v>
      </c>
      <c r="BH46" s="200">
        <v>1</v>
      </c>
      <c r="BI46" s="219" t="s">
        <v>308</v>
      </c>
      <c r="BJ46" s="219" t="s">
        <v>511</v>
      </c>
      <c r="BK46" s="198" t="s">
        <v>315</v>
      </c>
      <c r="BL46" s="198" t="s">
        <v>316</v>
      </c>
    </row>
    <row r="47" spans="1:64" s="3" customFormat="1" ht="88" customHeight="1" x14ac:dyDescent="0.35">
      <c r="A47" s="194" t="s">
        <v>62</v>
      </c>
      <c r="B47" s="195" t="s">
        <v>63</v>
      </c>
      <c r="C47" s="195" t="s">
        <v>68</v>
      </c>
      <c r="D47" s="200"/>
      <c r="E47" s="195" t="s">
        <v>309</v>
      </c>
      <c r="F47" s="195"/>
      <c r="G47" s="195"/>
      <c r="H47" s="198"/>
      <c r="I47" s="198"/>
      <c r="J47" s="198"/>
      <c r="K47" s="198"/>
      <c r="L47" s="198"/>
      <c r="M47" s="198"/>
      <c r="N47" s="198"/>
      <c r="O47" s="198"/>
      <c r="P47" s="198"/>
      <c r="Q47" s="205"/>
      <c r="R47" s="206"/>
      <c r="S47" s="206"/>
      <c r="T47" s="206"/>
      <c r="U47" s="205"/>
      <c r="V47" s="207"/>
      <c r="W47" s="198" t="s">
        <v>65</v>
      </c>
      <c r="X47" s="198" t="s">
        <v>65</v>
      </c>
      <c r="Y47" s="198" t="s">
        <v>65</v>
      </c>
      <c r="Z47" s="198" t="s">
        <v>65</v>
      </c>
      <c r="AA47" s="211">
        <v>0.5</v>
      </c>
      <c r="AB47" s="195" t="s">
        <v>469</v>
      </c>
      <c r="AC47" s="195" t="s">
        <v>317</v>
      </c>
      <c r="AD47" s="201">
        <v>45019</v>
      </c>
      <c r="AE47" s="201">
        <v>45280</v>
      </c>
      <c r="AF47" s="195" t="s">
        <v>318</v>
      </c>
      <c r="AG47" s="198" t="s">
        <v>319</v>
      </c>
      <c r="AH47" s="197">
        <v>1</v>
      </c>
      <c r="AI47" s="198" t="s">
        <v>259</v>
      </c>
      <c r="AJ47" s="197" t="s">
        <v>65</v>
      </c>
      <c r="AK47" s="197">
        <v>1</v>
      </c>
      <c r="AL47" s="197">
        <v>1</v>
      </c>
      <c r="AM47" s="197">
        <v>1</v>
      </c>
      <c r="AN47" s="197">
        <v>1</v>
      </c>
      <c r="AO47" s="197">
        <v>1</v>
      </c>
      <c r="AP47" s="197">
        <f>1/1</f>
        <v>1</v>
      </c>
      <c r="AQ47" s="197">
        <f>12/12</f>
        <v>1</v>
      </c>
      <c r="AR47" s="197">
        <f>7/7</f>
        <v>1</v>
      </c>
      <c r="AS47" s="209">
        <f>3/3</f>
        <v>1</v>
      </c>
      <c r="AT47" s="209">
        <f>13/13</f>
        <v>1</v>
      </c>
      <c r="AU47" s="209">
        <f>10/10</f>
        <v>1</v>
      </c>
      <c r="AV47" s="62"/>
      <c r="AW47" s="62"/>
      <c r="AX47" s="62"/>
      <c r="AY47" s="62"/>
      <c r="AZ47" s="62"/>
      <c r="BA47" s="62"/>
      <c r="BB47" s="200">
        <f>AVERAGE(Tabla14[[#This Row],[Enero ]:[Dic]])</f>
        <v>1</v>
      </c>
      <c r="BC47" s="200">
        <f>IFERROR(IF(AO47=0,"",IF((BB47/AO47)&gt;100%,100%,(BB47/AO47))),"")</f>
        <v>1</v>
      </c>
      <c r="BD47" s="200">
        <f t="shared" si="8"/>
        <v>0.5</v>
      </c>
      <c r="BE47" s="200"/>
      <c r="BF47" s="200"/>
      <c r="BG47" s="197"/>
      <c r="BH47" s="197">
        <v>0.99</v>
      </c>
      <c r="BI47" s="219" t="s">
        <v>308</v>
      </c>
      <c r="BJ47" s="219" t="s">
        <v>511</v>
      </c>
      <c r="BK47" s="198" t="s">
        <v>320</v>
      </c>
      <c r="BL47" s="198" t="s">
        <v>316</v>
      </c>
    </row>
    <row r="48" spans="1:64" x14ac:dyDescent="0.35">
      <c r="A48" s="149"/>
      <c r="B48" s="149"/>
      <c r="C48" s="150"/>
      <c r="D48" s="151"/>
      <c r="E48" s="150"/>
      <c r="F48" s="150"/>
      <c r="G48" s="150"/>
      <c r="H48" s="151"/>
      <c r="I48" s="151"/>
      <c r="J48" s="151"/>
      <c r="K48" s="151"/>
      <c r="L48" s="151"/>
      <c r="M48" s="151"/>
      <c r="N48" s="151"/>
      <c r="O48" s="151"/>
      <c r="P48" s="151"/>
      <c r="Q48" s="152"/>
      <c r="R48" s="153"/>
      <c r="S48" s="153"/>
      <c r="T48" s="153"/>
      <c r="U48" s="152"/>
      <c r="V48" s="154"/>
      <c r="W48" s="151"/>
      <c r="X48" s="151"/>
      <c r="Y48" s="151"/>
      <c r="Z48" s="151"/>
      <c r="AA48" s="155"/>
      <c r="AB48" s="149"/>
      <c r="AC48" s="149"/>
      <c r="AD48" s="156"/>
      <c r="AE48" s="156"/>
      <c r="AF48" s="149"/>
      <c r="AG48" s="156"/>
      <c r="AH48" s="156"/>
      <c r="AI48" s="156"/>
      <c r="AJ48" s="156"/>
      <c r="AK48" s="156"/>
      <c r="AL48" s="156"/>
      <c r="AM48" s="156"/>
      <c r="AN48" s="156"/>
      <c r="AO48" s="156"/>
      <c r="AP48" s="157"/>
      <c r="AQ48" s="157"/>
      <c r="AR48" s="157"/>
      <c r="AS48" s="158"/>
      <c r="AT48" s="158"/>
      <c r="AU48" s="158"/>
      <c r="AV48" s="158"/>
      <c r="AW48" s="158"/>
      <c r="AX48" s="158"/>
      <c r="AY48" s="158"/>
      <c r="AZ48" s="158"/>
      <c r="BA48" s="158"/>
      <c r="BB48" s="157"/>
      <c r="BC48" s="159"/>
      <c r="BD48" s="160">
        <f>SUM(BD46:BD47)</f>
        <v>1</v>
      </c>
      <c r="BE48" s="155"/>
      <c r="BF48" s="155"/>
      <c r="BG48" s="155"/>
      <c r="BH48" s="155"/>
      <c r="BI48" s="156"/>
      <c r="BJ48" s="156"/>
      <c r="BK48" s="156"/>
      <c r="BL48" s="156"/>
    </row>
    <row r="49" spans="1:64" s="95" customFormat="1" x14ac:dyDescent="0.35">
      <c r="A49" s="88"/>
      <c r="B49" s="88"/>
      <c r="C49" s="89"/>
      <c r="D49" s="90"/>
      <c r="E49" s="89"/>
      <c r="F49" s="89"/>
      <c r="G49" s="89"/>
      <c r="H49" s="90"/>
      <c r="I49" s="90"/>
      <c r="J49" s="90"/>
      <c r="K49" s="90"/>
      <c r="L49" s="90"/>
      <c r="M49" s="90"/>
      <c r="N49" s="90"/>
      <c r="O49" s="90"/>
      <c r="P49" s="90"/>
      <c r="Q49" s="91"/>
      <c r="R49" s="92"/>
      <c r="S49" s="92"/>
      <c r="T49" s="92"/>
      <c r="U49" s="91"/>
      <c r="V49" s="93"/>
      <c r="W49" s="90"/>
      <c r="X49" s="90"/>
      <c r="Y49" s="90"/>
      <c r="Z49" s="90"/>
      <c r="AA49" s="85"/>
      <c r="AB49" s="88"/>
      <c r="AC49" s="88"/>
      <c r="AD49" s="94"/>
      <c r="AE49" s="94"/>
      <c r="AF49" s="88"/>
      <c r="AG49" s="94"/>
      <c r="AH49" s="94"/>
      <c r="AI49" s="94"/>
      <c r="AJ49" s="94"/>
      <c r="AK49" s="94"/>
      <c r="AL49" s="94"/>
      <c r="AM49" s="94"/>
      <c r="AN49" s="94"/>
      <c r="AO49" s="94"/>
      <c r="AS49" s="96"/>
      <c r="AT49" s="96"/>
      <c r="AU49" s="96"/>
      <c r="AV49" s="96"/>
      <c r="AW49" s="96"/>
      <c r="AX49" s="96"/>
      <c r="AY49" s="96"/>
      <c r="AZ49" s="96"/>
      <c r="BA49" s="96"/>
      <c r="BC49" s="97"/>
      <c r="BD49" s="98"/>
      <c r="BE49" s="85"/>
      <c r="BF49" s="85"/>
      <c r="BG49" s="100"/>
      <c r="BH49" s="100"/>
      <c r="BI49" s="105"/>
      <c r="BJ49" s="94"/>
      <c r="BK49" s="94"/>
      <c r="BL49" s="94"/>
    </row>
    <row r="50" spans="1:64" s="95" customFormat="1" hidden="1" x14ac:dyDescent="0.35">
      <c r="A50" s="88"/>
      <c r="B50" s="88"/>
      <c r="C50" s="89"/>
      <c r="D50" s="90"/>
      <c r="E50" s="89"/>
      <c r="F50" s="89"/>
      <c r="G50" s="89"/>
      <c r="H50" s="90"/>
      <c r="I50" s="90"/>
      <c r="J50" s="90"/>
      <c r="K50" s="90"/>
      <c r="L50" s="90"/>
      <c r="M50" s="90"/>
      <c r="N50" s="90"/>
      <c r="O50" s="90"/>
      <c r="P50" s="90"/>
      <c r="Q50" s="91"/>
      <c r="R50" s="92"/>
      <c r="S50" s="92"/>
      <c r="T50" s="92"/>
      <c r="U50" s="91"/>
      <c r="V50" s="93"/>
      <c r="W50" s="90"/>
      <c r="X50" s="90"/>
      <c r="Y50" s="90"/>
      <c r="Z50" s="90"/>
      <c r="AA50" s="85"/>
      <c r="AB50" s="88"/>
      <c r="AC50" s="88"/>
      <c r="AD50" s="94"/>
      <c r="AE50" s="94"/>
      <c r="AF50" s="88"/>
      <c r="AG50" s="94"/>
      <c r="AH50" s="94"/>
      <c r="AI50" s="94"/>
      <c r="AJ50" s="94"/>
      <c r="AK50" s="94"/>
      <c r="AL50" s="94"/>
      <c r="AM50" s="94"/>
      <c r="AN50" s="94"/>
      <c r="AO50" s="94"/>
      <c r="AS50" s="96"/>
      <c r="AT50" s="96"/>
      <c r="AU50" s="96"/>
      <c r="AV50" s="96"/>
      <c r="AW50" s="96"/>
      <c r="AX50" s="96"/>
      <c r="AY50" s="96"/>
      <c r="AZ50" s="96"/>
      <c r="BA50" s="96"/>
      <c r="BC50" s="97"/>
      <c r="BD50" s="98"/>
      <c r="BE50" s="85"/>
      <c r="BF50" s="85"/>
      <c r="BG50" s="100" t="s">
        <v>846</v>
      </c>
      <c r="BH50" s="100"/>
      <c r="BI50" s="100" t="s">
        <v>534</v>
      </c>
      <c r="BJ50" s="100" t="s">
        <v>535</v>
      </c>
      <c r="BK50" s="94"/>
      <c r="BL50" s="94"/>
    </row>
    <row r="51" spans="1:64" hidden="1" x14ac:dyDescent="0.35">
      <c r="BD51" s="99" t="s">
        <v>530</v>
      </c>
      <c r="BF51" s="100">
        <f>+BF9+BF14+BF20</f>
        <v>0.51367188679245279</v>
      </c>
      <c r="BG51" s="108">
        <f>BF53/BF51</f>
        <v>0.98290322580645151</v>
      </c>
      <c r="BH51" s="109"/>
      <c r="BI51" s="108">
        <v>0.99</v>
      </c>
    </row>
    <row r="52" spans="1:64" hidden="1" x14ac:dyDescent="0.35">
      <c r="BD52" s="101" t="s">
        <v>526</v>
      </c>
      <c r="BF52" s="104">
        <f>(BF51*(AVERAGE(BG9:BH47)))</f>
        <v>0.49610762227632366</v>
      </c>
      <c r="BH52" s="101"/>
      <c r="BI52" s="105"/>
    </row>
    <row r="53" spans="1:64" hidden="1" x14ac:dyDescent="0.35">
      <c r="BD53" t="s">
        <v>531</v>
      </c>
      <c r="BF53" s="103">
        <f>AVERAGE(BF51:BF52)</f>
        <v>0.50488975453438822</v>
      </c>
      <c r="BG53" s="101"/>
      <c r="BH53" s="101"/>
      <c r="BI53" s="105"/>
    </row>
    <row r="54" spans="1:64" hidden="1" x14ac:dyDescent="0.35">
      <c r="R54" s="60"/>
      <c r="S54" s="60"/>
      <c r="T54" s="60"/>
      <c r="V54" s="84"/>
      <c r="AA54" s="85"/>
      <c r="AB54" s="5"/>
      <c r="AS54" s="77"/>
      <c r="AT54" s="77"/>
      <c r="AU54" s="77"/>
      <c r="AV54" s="77"/>
      <c r="AW54" s="77"/>
      <c r="AX54" s="77"/>
      <c r="AY54" s="77"/>
      <c r="AZ54" s="77"/>
      <c r="BA54" s="77"/>
      <c r="BC54" s="86"/>
      <c r="BG54" s="100"/>
      <c r="BH54" s="100"/>
      <c r="BI54" s="105"/>
    </row>
    <row r="55" spans="1:64" ht="14.15" customHeight="1" x14ac:dyDescent="0.35">
      <c r="A55" s="54" t="s">
        <v>4</v>
      </c>
      <c r="B55" s="309" t="s">
        <v>468</v>
      </c>
      <c r="C55" s="309"/>
      <c r="D55" s="58"/>
      <c r="R55" s="60"/>
      <c r="S55" s="60"/>
      <c r="T55" s="60"/>
      <c r="BI55" s="105"/>
    </row>
    <row r="56" spans="1:64" ht="76" customHeight="1" x14ac:dyDescent="0.35">
      <c r="A56" s="41" t="s">
        <v>5</v>
      </c>
      <c r="B56" s="310"/>
      <c r="C56" s="311"/>
      <c r="BE56" s="102"/>
      <c r="BG56" s="101"/>
      <c r="BH56" s="101"/>
      <c r="BI56" s="105"/>
    </row>
    <row r="58" spans="1:64" x14ac:dyDescent="0.35">
      <c r="A58" s="59"/>
      <c r="B58" s="59"/>
    </row>
    <row r="59" spans="1:64" x14ac:dyDescent="0.35">
      <c r="A59" s="59" t="s">
        <v>546</v>
      </c>
      <c r="B59" s="59"/>
    </row>
    <row r="60" spans="1:64" x14ac:dyDescent="0.35">
      <c r="A60" s="1" t="s">
        <v>1</v>
      </c>
    </row>
  </sheetData>
  <mergeCells count="18">
    <mergeCell ref="AS7:AU7"/>
    <mergeCell ref="AV7:AX7"/>
    <mergeCell ref="B55:C55"/>
    <mergeCell ref="B56:C56"/>
    <mergeCell ref="AB6:AE7"/>
    <mergeCell ref="AY7:BA7"/>
    <mergeCell ref="B1:BL1"/>
    <mergeCell ref="U6:V7"/>
    <mergeCell ref="W6:Z7"/>
    <mergeCell ref="AF6:AI7"/>
    <mergeCell ref="AK6:AO7"/>
    <mergeCell ref="AP6:BA6"/>
    <mergeCell ref="BI6:BL7"/>
    <mergeCell ref="BB6:BH7"/>
    <mergeCell ref="E6:J7"/>
    <mergeCell ref="L6:P7"/>
    <mergeCell ref="Q6:T7"/>
    <mergeCell ref="AP7:AR7"/>
  </mergeCells>
  <phoneticPr fontId="4" type="noConversion"/>
  <dataValidations count="1">
    <dataValidation type="textLength" showInputMessage="1" showErrorMessage="1" promptTitle="CARACTERES PERMITIDOS EN EL ASE" prompt="La extensión del texto no debe superar 90 caracteres." sqref="AB39 AB9:AB13 AF12:AG13 AB34 AB15:AB17 AB36:AB37 AC30:AC31 AB24:AB27 AB54 AB29:AB32 AB41:AB50 E29:F32 G30:G32" xr:uid="{BE056B4B-86C9-4C5A-8CA1-8967DD28A7A7}">
      <formula1>0</formula1>
      <formula2>90</formula2>
    </dataValidation>
  </dataValidations>
  <pageMargins left="0.7" right="0.7" top="0.75" bottom="0.75" header="0.3" footer="0.3"/>
  <pageSetup orientation="portrait" r:id="rId1"/>
  <ignoredErrors>
    <ignoredError sqref="AO21:AO22 AO10 BB21 AO46:AO47 AO37 AO24:AP36 AO38:AP45 AP37 AP46:AP47" calculatedColumn="1"/>
    <ignoredError sqref="AC30" listDataValidation="1"/>
    <ignoredError sqref="AS46:AS47 AU10 AU37:BB37" unlockedFormula="1"/>
    <ignoredError sqref="AT46:AU46 AT47:BA47" formula="1" unlockedFormula="1"/>
    <ignoredError sqref="AV46:BA46" formula="1"/>
    <ignoredError sqref="BB47" formula="1" unlockedFormula="1" calculatedColumn="1"/>
    <ignoredError sqref="BB46" formula="1"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86D9-39FE-4B9B-85D2-4D7917510BDD}">
  <dimension ref="A1:BL28"/>
  <sheetViews>
    <sheetView showGridLines="0" zoomScale="60" zoomScaleNormal="60" workbookViewId="0">
      <selection activeCell="E9" sqref="E9"/>
    </sheetView>
  </sheetViews>
  <sheetFormatPr baseColWidth="10" defaultColWidth="11.453125" defaultRowHeight="14.5" x14ac:dyDescent="0.35"/>
  <cols>
    <col min="1" max="2" width="40.1796875" style="5" customWidth="1"/>
    <col min="3" max="5" width="44.54296875" style="6" customWidth="1"/>
    <col min="6" max="7" width="44.54296875" style="6" hidden="1" customWidth="1"/>
    <col min="8" max="8" width="44.54296875" style="6" customWidth="1"/>
    <col min="9" max="10" width="44.54296875" style="7" customWidth="1"/>
    <col min="11" max="11" width="44.54296875" style="7" hidden="1" customWidth="1"/>
    <col min="12" max="16" width="11.7265625" style="7" customWidth="1"/>
    <col min="17" max="20" width="11.7265625" style="7" hidden="1" customWidth="1"/>
    <col min="21" max="22" width="22.1796875" style="7" hidden="1" customWidth="1"/>
    <col min="23" max="24" width="40.54296875" style="6" customWidth="1"/>
    <col min="25" max="27" width="40.54296875" style="7" customWidth="1"/>
    <col min="28" max="28" width="44.54296875" style="6" customWidth="1"/>
    <col min="29" max="29" width="44.54296875" style="5" customWidth="1"/>
    <col min="30" max="30" width="23" style="4" hidden="1" customWidth="1"/>
    <col min="31" max="31" width="23.1796875" style="4" hidden="1" customWidth="1"/>
    <col min="32" max="32" width="27.54296875" style="5" hidden="1" customWidth="1"/>
    <col min="33" max="34" width="27.54296875" style="4" customWidth="1"/>
    <col min="35" max="36" width="27.54296875" style="4" hidden="1"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14" t="s">
        <v>461</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row>
    <row r="2" spans="1:64" ht="26.15" customHeight="1" x14ac:dyDescent="0.35">
      <c r="C2" s="5"/>
      <c r="D2" s="5"/>
      <c r="E2" s="5"/>
      <c r="F2" s="5"/>
      <c r="G2" s="5"/>
      <c r="H2" s="5"/>
      <c r="I2" s="4"/>
      <c r="J2" s="4"/>
      <c r="K2" s="4"/>
      <c r="L2" s="4"/>
      <c r="M2" s="4"/>
      <c r="N2" s="4"/>
      <c r="O2" s="4"/>
      <c r="P2" s="4"/>
      <c r="Q2" s="4"/>
      <c r="R2" s="4"/>
      <c r="S2" s="4"/>
      <c r="T2" s="4"/>
      <c r="U2" s="4"/>
      <c r="V2" s="4"/>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5"/>
      <c r="I3" s="4"/>
      <c r="J3" s="4"/>
      <c r="K3" s="4"/>
      <c r="L3" s="4"/>
      <c r="M3" s="4"/>
      <c r="N3" s="4"/>
      <c r="O3" s="4"/>
      <c r="P3" s="4"/>
      <c r="Q3" s="4"/>
      <c r="R3" s="4"/>
      <c r="S3" s="4"/>
      <c r="T3" s="4"/>
      <c r="U3" s="4"/>
      <c r="V3" s="4"/>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6" t="s">
        <v>536</v>
      </c>
      <c r="B4" s="107">
        <f>+BG18</f>
        <v>1</v>
      </c>
      <c r="C4" s="5"/>
      <c r="D4" s="5"/>
      <c r="E4" s="5"/>
      <c r="F4" s="5"/>
      <c r="G4" s="5"/>
      <c r="H4" s="5"/>
      <c r="I4" s="4"/>
      <c r="J4" s="4"/>
      <c r="K4" s="4"/>
      <c r="L4" s="4"/>
      <c r="M4" s="4"/>
      <c r="N4" s="4"/>
      <c r="O4" s="4"/>
      <c r="P4" s="4"/>
      <c r="Q4" s="4"/>
      <c r="R4" s="4"/>
      <c r="S4" s="4"/>
      <c r="T4" s="4"/>
      <c r="U4" s="4"/>
      <c r="V4" s="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6" t="s">
        <v>537</v>
      </c>
      <c r="B5" s="107">
        <f>+BF20</f>
        <v>0.12</v>
      </c>
      <c r="C5" s="5"/>
      <c r="D5" s="5"/>
      <c r="E5" s="5"/>
      <c r="F5" s="5"/>
      <c r="G5" s="5"/>
      <c r="H5" s="5"/>
      <c r="I5" s="4"/>
      <c r="J5" s="4"/>
      <c r="K5" s="4"/>
      <c r="L5" s="4"/>
      <c r="M5" s="4"/>
      <c r="N5" s="4"/>
      <c r="O5" s="4"/>
      <c r="P5" s="4"/>
      <c r="Q5" s="4"/>
      <c r="R5" s="4"/>
      <c r="S5" s="4"/>
      <c r="T5" s="4"/>
      <c r="U5" s="4"/>
      <c r="V5" s="4"/>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5"/>
      <c r="I6" s="4"/>
      <c r="J6" s="4"/>
      <c r="K6" s="4"/>
      <c r="L6" s="4"/>
      <c r="M6" s="4"/>
      <c r="N6" s="4"/>
      <c r="O6" s="4"/>
      <c r="P6" s="4"/>
      <c r="Q6" s="4"/>
      <c r="R6" s="4"/>
      <c r="S6" s="4"/>
      <c r="T6" s="4"/>
      <c r="U6" s="4"/>
      <c r="V6" s="4"/>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122" t="s">
        <v>48</v>
      </c>
      <c r="B7" s="122"/>
      <c r="C7" s="122"/>
      <c r="D7" s="122"/>
      <c r="E7" s="315"/>
      <c r="F7" s="316"/>
      <c r="G7" s="316"/>
      <c r="H7" s="316"/>
      <c r="I7" s="316"/>
      <c r="J7" s="317"/>
      <c r="K7" s="111"/>
      <c r="L7" s="315" t="s">
        <v>52</v>
      </c>
      <c r="M7" s="316"/>
      <c r="N7" s="316"/>
      <c r="O7" s="316"/>
      <c r="P7" s="317"/>
      <c r="Q7" s="312" t="s">
        <v>27</v>
      </c>
      <c r="R7" s="312"/>
      <c r="S7" s="312"/>
      <c r="T7" s="312"/>
      <c r="U7" s="312" t="s">
        <v>41</v>
      </c>
      <c r="V7" s="312"/>
      <c r="W7" s="315" t="s">
        <v>10</v>
      </c>
      <c r="X7" s="316"/>
      <c r="Y7" s="316"/>
      <c r="Z7" s="317"/>
      <c r="AA7" s="111"/>
      <c r="AB7" s="312" t="s">
        <v>20</v>
      </c>
      <c r="AC7" s="312"/>
      <c r="AD7" s="312"/>
      <c r="AE7" s="312"/>
      <c r="AF7" s="315" t="s">
        <v>49</v>
      </c>
      <c r="AG7" s="316"/>
      <c r="AH7" s="316"/>
      <c r="AI7" s="317"/>
      <c r="AJ7" s="111"/>
      <c r="AK7" s="315" t="s">
        <v>21</v>
      </c>
      <c r="AL7" s="316"/>
      <c r="AM7" s="316"/>
      <c r="AN7" s="316"/>
      <c r="AO7" s="317"/>
      <c r="AP7" s="328" t="s">
        <v>27</v>
      </c>
      <c r="AQ7" s="329"/>
      <c r="AR7" s="329"/>
      <c r="AS7" s="329"/>
      <c r="AT7" s="329"/>
      <c r="AU7" s="329"/>
      <c r="AV7" s="329"/>
      <c r="AW7" s="329"/>
      <c r="AX7" s="329"/>
      <c r="AY7" s="329"/>
      <c r="AZ7" s="329"/>
      <c r="BA7" s="329"/>
      <c r="BB7" s="330" t="s">
        <v>41</v>
      </c>
      <c r="BC7" s="331"/>
      <c r="BD7" s="331"/>
      <c r="BE7" s="331"/>
      <c r="BF7" s="331"/>
      <c r="BG7" s="331"/>
      <c r="BH7" s="332"/>
      <c r="BI7" s="321"/>
      <c r="BJ7" s="321"/>
      <c r="BK7" s="321"/>
      <c r="BL7" s="321"/>
    </row>
    <row r="8" spans="1:64" ht="30.65" customHeight="1" x14ac:dyDescent="0.35">
      <c r="A8" s="122"/>
      <c r="B8" s="122"/>
      <c r="C8" s="122"/>
      <c r="D8" s="122"/>
      <c r="E8" s="318"/>
      <c r="F8" s="319"/>
      <c r="G8" s="319"/>
      <c r="H8" s="319"/>
      <c r="I8" s="319"/>
      <c r="J8" s="320"/>
      <c r="K8" s="113"/>
      <c r="L8" s="318"/>
      <c r="M8" s="319"/>
      <c r="N8" s="319"/>
      <c r="O8" s="319"/>
      <c r="P8" s="320"/>
      <c r="Q8" s="312"/>
      <c r="R8" s="312"/>
      <c r="S8" s="312"/>
      <c r="T8" s="312"/>
      <c r="U8" s="312"/>
      <c r="V8" s="312"/>
      <c r="W8" s="318"/>
      <c r="X8" s="319"/>
      <c r="Y8" s="319"/>
      <c r="Z8" s="320"/>
      <c r="AA8" s="113"/>
      <c r="AB8" s="312"/>
      <c r="AC8" s="312"/>
      <c r="AD8" s="312"/>
      <c r="AE8" s="312"/>
      <c r="AF8" s="318"/>
      <c r="AG8" s="319"/>
      <c r="AH8" s="319"/>
      <c r="AI8" s="320"/>
      <c r="AJ8" s="113"/>
      <c r="AK8" s="318"/>
      <c r="AL8" s="319"/>
      <c r="AM8" s="319"/>
      <c r="AN8" s="319"/>
      <c r="AO8" s="320"/>
      <c r="AP8" s="325" t="s">
        <v>22</v>
      </c>
      <c r="AQ8" s="326"/>
      <c r="AR8" s="326"/>
      <c r="AS8" s="325" t="s">
        <v>23</v>
      </c>
      <c r="AT8" s="326"/>
      <c r="AU8" s="327"/>
      <c r="AV8" s="325" t="s">
        <v>24</v>
      </c>
      <c r="AW8" s="326"/>
      <c r="AX8" s="327"/>
      <c r="AY8" s="325" t="s">
        <v>25</v>
      </c>
      <c r="AZ8" s="326"/>
      <c r="BA8" s="326"/>
      <c r="BB8" s="318"/>
      <c r="BC8" s="319"/>
      <c r="BD8" s="319"/>
      <c r="BE8" s="319"/>
      <c r="BF8" s="319"/>
      <c r="BG8" s="319"/>
      <c r="BH8" s="320"/>
      <c r="BI8" s="322"/>
      <c r="BJ8" s="322"/>
      <c r="BK8" s="322"/>
      <c r="BL8" s="322"/>
    </row>
    <row r="9" spans="1:64" ht="105.65" customHeight="1" x14ac:dyDescent="0.35">
      <c r="A9" s="117" t="s">
        <v>7</v>
      </c>
      <c r="B9" s="117" t="s">
        <v>8</v>
      </c>
      <c r="C9" s="117" t="s">
        <v>9</v>
      </c>
      <c r="D9" s="115" t="s">
        <v>532</v>
      </c>
      <c r="E9" s="116" t="s">
        <v>50</v>
      </c>
      <c r="F9" s="116" t="s">
        <v>541</v>
      </c>
      <c r="G9" s="116" t="s">
        <v>542</v>
      </c>
      <c r="H9" s="116" t="s">
        <v>14</v>
      </c>
      <c r="I9" s="116" t="s">
        <v>64</v>
      </c>
      <c r="J9" s="116" t="s">
        <v>16</v>
      </c>
      <c r="K9" s="116" t="s">
        <v>543</v>
      </c>
      <c r="L9" s="117" t="s">
        <v>22</v>
      </c>
      <c r="M9" s="117" t="s">
        <v>23</v>
      </c>
      <c r="N9" s="117" t="s">
        <v>24</v>
      </c>
      <c r="O9" s="117" t="s">
        <v>25</v>
      </c>
      <c r="P9" s="118" t="s">
        <v>26</v>
      </c>
      <c r="Q9" s="117" t="s">
        <v>53</v>
      </c>
      <c r="R9" s="117" t="s">
        <v>54</v>
      </c>
      <c r="S9" s="117" t="s">
        <v>43</v>
      </c>
      <c r="T9" s="117" t="s">
        <v>55</v>
      </c>
      <c r="U9" s="117" t="s">
        <v>46</v>
      </c>
      <c r="V9" s="117" t="s">
        <v>51</v>
      </c>
      <c r="W9" s="117" t="s">
        <v>0</v>
      </c>
      <c r="X9" s="117" t="s">
        <v>2</v>
      </c>
      <c r="Y9" s="117" t="s">
        <v>11</v>
      </c>
      <c r="Z9" s="117" t="s">
        <v>12</v>
      </c>
      <c r="AA9" s="117" t="s">
        <v>544</v>
      </c>
      <c r="AB9" s="117" t="s">
        <v>17</v>
      </c>
      <c r="AC9" s="117" t="s">
        <v>6</v>
      </c>
      <c r="AD9" s="116" t="s">
        <v>18</v>
      </c>
      <c r="AE9" s="116" t="s">
        <v>19</v>
      </c>
      <c r="AF9" s="116" t="s">
        <v>13</v>
      </c>
      <c r="AG9" s="116" t="s">
        <v>57</v>
      </c>
      <c r="AH9" s="116" t="s">
        <v>15</v>
      </c>
      <c r="AI9" s="116" t="s">
        <v>58</v>
      </c>
      <c r="AJ9" s="116" t="s">
        <v>545</v>
      </c>
      <c r="AK9" s="119" t="s">
        <v>42</v>
      </c>
      <c r="AL9" s="119" t="s">
        <v>59</v>
      </c>
      <c r="AM9" s="119" t="s">
        <v>60</v>
      </c>
      <c r="AN9" s="119" t="s">
        <v>44</v>
      </c>
      <c r="AO9" s="120" t="s">
        <v>61</v>
      </c>
      <c r="AP9" s="121" t="s">
        <v>28</v>
      </c>
      <c r="AQ9" s="121" t="s">
        <v>29</v>
      </c>
      <c r="AR9" s="121" t="s">
        <v>30</v>
      </c>
      <c r="AS9" s="121" t="s">
        <v>31</v>
      </c>
      <c r="AT9" s="121" t="s">
        <v>32</v>
      </c>
      <c r="AU9" s="121" t="s">
        <v>33</v>
      </c>
      <c r="AV9" s="121" t="s">
        <v>34</v>
      </c>
      <c r="AW9" s="121" t="s">
        <v>35</v>
      </c>
      <c r="AX9" s="121" t="s">
        <v>36</v>
      </c>
      <c r="AY9" s="121" t="s">
        <v>37</v>
      </c>
      <c r="AZ9" s="121" t="s">
        <v>38</v>
      </c>
      <c r="BA9" s="121" t="s">
        <v>39</v>
      </c>
      <c r="BB9" s="117" t="s">
        <v>40</v>
      </c>
      <c r="BC9" s="117" t="s">
        <v>45</v>
      </c>
      <c r="BD9" s="117" t="s">
        <v>528</v>
      </c>
      <c r="BE9" s="117" t="s">
        <v>527</v>
      </c>
      <c r="BF9" s="117" t="s">
        <v>529</v>
      </c>
      <c r="BG9" s="117" t="s">
        <v>524</v>
      </c>
      <c r="BH9" s="117" t="s">
        <v>525</v>
      </c>
      <c r="BI9" s="117" t="s">
        <v>504</v>
      </c>
      <c r="BJ9" s="117" t="s">
        <v>512</v>
      </c>
      <c r="BK9" s="117" t="s">
        <v>3</v>
      </c>
      <c r="BL9" s="117" t="s">
        <v>56</v>
      </c>
    </row>
    <row r="10" spans="1:64" ht="72.5" x14ac:dyDescent="0.35">
      <c r="A10" s="46" t="s">
        <v>122</v>
      </c>
      <c r="B10" s="41" t="s">
        <v>410</v>
      </c>
      <c r="C10" s="41" t="s">
        <v>411</v>
      </c>
      <c r="D10" s="17">
        <v>1</v>
      </c>
      <c r="E10" s="9" t="s">
        <v>434</v>
      </c>
      <c r="F10" s="17">
        <v>1</v>
      </c>
      <c r="G10" s="37" t="s">
        <v>65</v>
      </c>
      <c r="H10" s="8" t="s">
        <v>435</v>
      </c>
      <c r="I10" s="8">
        <v>4</v>
      </c>
      <c r="J10" s="8" t="s">
        <v>87</v>
      </c>
      <c r="K10" s="37" t="s">
        <v>65</v>
      </c>
      <c r="L10" s="8">
        <v>1</v>
      </c>
      <c r="M10" s="8">
        <v>1</v>
      </c>
      <c r="N10" s="8">
        <v>1</v>
      </c>
      <c r="O10" s="8">
        <v>1</v>
      </c>
      <c r="P10" s="8">
        <f>SUM(Tabla148[[#This Row],[TRIM I]:[TRIM IV]])</f>
        <v>4</v>
      </c>
      <c r="Q10" s="8">
        <v>1</v>
      </c>
      <c r="R10" s="19">
        <v>1</v>
      </c>
      <c r="S10" s="19"/>
      <c r="T10" s="19"/>
      <c r="U10" s="8">
        <f>SUM(Tabla148[[#This Row],[TRIM I    ]:[TRIM IV    ]])</f>
        <v>2</v>
      </c>
      <c r="V10" s="17">
        <f>IFERROR(IF(P10=0,"",IF((U10/P10)&gt;100%,100%,(U10/P10))),"")</f>
        <v>0.5</v>
      </c>
      <c r="W10" s="41" t="s">
        <v>412</v>
      </c>
      <c r="X10" s="41" t="s">
        <v>361</v>
      </c>
      <c r="Y10" s="8" t="s">
        <v>65</v>
      </c>
      <c r="Z10" s="8" t="s">
        <v>65</v>
      </c>
      <c r="AA10" s="37">
        <v>0.2</v>
      </c>
      <c r="AB10" s="41" t="s">
        <v>436</v>
      </c>
      <c r="AC10" s="41" t="s">
        <v>437</v>
      </c>
      <c r="AD10" s="49">
        <v>44928</v>
      </c>
      <c r="AE10" s="49">
        <v>45289</v>
      </c>
      <c r="AF10" s="41" t="s">
        <v>359</v>
      </c>
      <c r="AG10" s="8" t="s">
        <v>360</v>
      </c>
      <c r="AH10" s="8">
        <v>1</v>
      </c>
      <c r="AI10" s="8" t="s">
        <v>234</v>
      </c>
      <c r="AJ10" s="37" t="s">
        <v>65</v>
      </c>
      <c r="AK10" s="8"/>
      <c r="AL10" s="8"/>
      <c r="AM10" s="8"/>
      <c r="AN10" s="8">
        <v>1</v>
      </c>
      <c r="AO10" s="8">
        <f>SUM(Tabla148[[#This Row],[TRIM I   ]:[TRIM IV     ]])</f>
        <v>1</v>
      </c>
      <c r="AP10" s="8"/>
      <c r="AQ10" s="8"/>
      <c r="AR10" s="8"/>
      <c r="AS10" s="19"/>
      <c r="AT10" s="19"/>
      <c r="AU10" s="19"/>
      <c r="AV10" s="19"/>
      <c r="AW10" s="19"/>
      <c r="AX10" s="19"/>
      <c r="AY10" s="19"/>
      <c r="AZ10" s="19"/>
      <c r="BA10" s="19"/>
      <c r="BB10" s="8">
        <f>SUM(Tabla148[[#This Row],[Enero ]:[Dic]])</f>
        <v>0</v>
      </c>
      <c r="BC10" s="17">
        <f t="shared" ref="BC10:BC14" si="0">IFERROR(IF(AO10=0,"",IF((BB10/AO10)&gt;100%,100%,(BB10/AO10))),"")</f>
        <v>0</v>
      </c>
      <c r="BD10" s="17">
        <f>IFERROR(BC10*AA10,"")</f>
        <v>0</v>
      </c>
      <c r="BE10" s="17">
        <f>Tabla148[[#Totals],[Avance ponderado de la actividad]]*F10</f>
        <v>0.12</v>
      </c>
      <c r="BF10" s="17">
        <f>Tabla148[[#This Row],[Avance ponderado frente a la meta de objetivo]]*Tabla148[[#This Row],[Peso Porcentual del Objetivo Estratégico]]</f>
        <v>0.12</v>
      </c>
      <c r="BG10" s="17">
        <v>1</v>
      </c>
      <c r="BH10" s="17"/>
      <c r="BI10" s="28" t="s">
        <v>308</v>
      </c>
      <c r="BJ10" s="8" t="s">
        <v>329</v>
      </c>
      <c r="BK10" s="8" t="s">
        <v>330</v>
      </c>
      <c r="BL10" s="8" t="s">
        <v>331</v>
      </c>
    </row>
    <row r="11" spans="1:64" ht="43.5" x14ac:dyDescent="0.35">
      <c r="A11" s="46" t="s">
        <v>122</v>
      </c>
      <c r="B11" s="41" t="s">
        <v>410</v>
      </c>
      <c r="C11" s="41" t="s">
        <v>411</v>
      </c>
      <c r="D11" s="41"/>
      <c r="E11" s="9" t="s">
        <v>434</v>
      </c>
      <c r="F11" s="9"/>
      <c r="G11" s="9"/>
      <c r="H11" s="41"/>
      <c r="I11" s="8"/>
      <c r="J11" s="8"/>
      <c r="K11" s="8"/>
      <c r="L11" s="8"/>
      <c r="M11" s="8"/>
      <c r="N11" s="8"/>
      <c r="O11" s="8"/>
      <c r="P11" s="8"/>
      <c r="Q11" s="8"/>
      <c r="R11" s="19"/>
      <c r="S11" s="19"/>
      <c r="T11" s="19"/>
      <c r="U11" s="8"/>
      <c r="V11" s="37"/>
      <c r="W11" s="41" t="s">
        <v>412</v>
      </c>
      <c r="X11" s="41" t="s">
        <v>361</v>
      </c>
      <c r="Y11" s="8" t="s">
        <v>65</v>
      </c>
      <c r="Z11" s="8" t="s">
        <v>65</v>
      </c>
      <c r="AA11" s="37">
        <v>0.1</v>
      </c>
      <c r="AB11" s="41" t="s">
        <v>438</v>
      </c>
      <c r="AC11" s="54" t="s">
        <v>439</v>
      </c>
      <c r="AD11" s="49">
        <v>45201</v>
      </c>
      <c r="AE11" s="49">
        <v>45289</v>
      </c>
      <c r="AF11" s="41" t="s">
        <v>409</v>
      </c>
      <c r="AG11" s="8" t="s">
        <v>362</v>
      </c>
      <c r="AH11" s="53">
        <v>1</v>
      </c>
      <c r="AI11" s="8" t="s">
        <v>440</v>
      </c>
      <c r="AJ11" s="37" t="s">
        <v>65</v>
      </c>
      <c r="AK11" s="53"/>
      <c r="AL11" s="53"/>
      <c r="AM11" s="53"/>
      <c r="AN11" s="53">
        <v>1</v>
      </c>
      <c r="AO11" s="8">
        <f>SUM(Tabla148[[#This Row],[TRIM I   ]:[TRIM IV     ]])</f>
        <v>1</v>
      </c>
      <c r="AP11" s="8"/>
      <c r="AQ11" s="8"/>
      <c r="AR11" s="8"/>
      <c r="AS11" s="19"/>
      <c r="AT11" s="19"/>
      <c r="AU11" s="19"/>
      <c r="AV11" s="19"/>
      <c r="AW11" s="19"/>
      <c r="AX11" s="19"/>
      <c r="AY11" s="19"/>
      <c r="AZ11" s="19"/>
      <c r="BA11" s="19"/>
      <c r="BB11" s="8">
        <f>SUM(Tabla148[[#This Row],[Enero ]:[Dic]])</f>
        <v>0</v>
      </c>
      <c r="BC11" s="17">
        <f t="shared" si="0"/>
        <v>0</v>
      </c>
      <c r="BD11" s="17">
        <f>IFERROR(BC11*AA11,"")</f>
        <v>0</v>
      </c>
      <c r="BE11" s="17"/>
      <c r="BF11" s="17"/>
      <c r="BG11" s="17"/>
      <c r="BH11" s="17"/>
      <c r="BI11" s="28" t="s">
        <v>308</v>
      </c>
      <c r="BJ11" s="8" t="s">
        <v>329</v>
      </c>
      <c r="BK11" s="8" t="s">
        <v>330</v>
      </c>
      <c r="BL11" s="8" t="s">
        <v>331</v>
      </c>
    </row>
    <row r="12" spans="1:64" ht="217.5" x14ac:dyDescent="0.35">
      <c r="A12" s="46" t="s">
        <v>122</v>
      </c>
      <c r="B12" s="41" t="s">
        <v>410</v>
      </c>
      <c r="C12" s="41" t="s">
        <v>411</v>
      </c>
      <c r="D12" s="41"/>
      <c r="E12" s="9" t="s">
        <v>434</v>
      </c>
      <c r="F12" s="9"/>
      <c r="G12" s="9"/>
      <c r="H12" s="41"/>
      <c r="I12" s="8"/>
      <c r="J12" s="8"/>
      <c r="K12" s="8"/>
      <c r="L12" s="8"/>
      <c r="M12" s="8"/>
      <c r="N12" s="8"/>
      <c r="O12" s="8"/>
      <c r="P12" s="8"/>
      <c r="Q12" s="8"/>
      <c r="R12" s="19"/>
      <c r="S12" s="19"/>
      <c r="T12" s="19"/>
      <c r="U12" s="8"/>
      <c r="V12" s="37"/>
      <c r="W12" s="41" t="s">
        <v>412</v>
      </c>
      <c r="X12" s="41" t="s">
        <v>361</v>
      </c>
      <c r="Y12" s="8" t="s">
        <v>65</v>
      </c>
      <c r="Z12" s="8" t="s">
        <v>65</v>
      </c>
      <c r="AA12" s="37">
        <v>0.3</v>
      </c>
      <c r="AB12" s="41" t="s">
        <v>441</v>
      </c>
      <c r="AC12" s="41" t="s">
        <v>442</v>
      </c>
      <c r="AD12" s="49">
        <v>44928</v>
      </c>
      <c r="AE12" s="49">
        <v>45289</v>
      </c>
      <c r="AF12" s="41" t="s">
        <v>443</v>
      </c>
      <c r="AG12" s="41" t="s">
        <v>444</v>
      </c>
      <c r="AH12" s="8">
        <v>5</v>
      </c>
      <c r="AI12" s="8" t="s">
        <v>87</v>
      </c>
      <c r="AJ12" s="37" t="s">
        <v>65</v>
      </c>
      <c r="AK12" s="8">
        <v>1</v>
      </c>
      <c r="AL12" s="8">
        <v>1</v>
      </c>
      <c r="AM12" s="8">
        <v>1</v>
      </c>
      <c r="AN12" s="8">
        <v>2</v>
      </c>
      <c r="AO12" s="8">
        <f>SUM(Tabla148[[#This Row],[TRIM I   ]:[TRIM IV     ]])</f>
        <v>5</v>
      </c>
      <c r="AP12" s="8"/>
      <c r="AQ12" s="8"/>
      <c r="AR12" s="8">
        <v>1</v>
      </c>
      <c r="AS12" s="19"/>
      <c r="AT12" s="19"/>
      <c r="AU12" s="19">
        <v>1</v>
      </c>
      <c r="AV12" s="19"/>
      <c r="AW12" s="19"/>
      <c r="AX12" s="19"/>
      <c r="AY12" s="19"/>
      <c r="AZ12" s="19"/>
      <c r="BA12" s="19"/>
      <c r="BB12" s="8">
        <f>SUM(Tabla148[[#This Row],[Enero ]:[Dic]])</f>
        <v>2</v>
      </c>
      <c r="BC12" s="17">
        <f t="shared" si="0"/>
        <v>0.4</v>
      </c>
      <c r="BD12" s="17">
        <f>IFERROR(BC12*AA12,"")</f>
        <v>0.12</v>
      </c>
      <c r="BE12" s="17"/>
      <c r="BF12" s="17"/>
      <c r="BG12" s="17"/>
      <c r="BH12" s="17">
        <v>1</v>
      </c>
      <c r="BI12" s="28" t="s">
        <v>308</v>
      </c>
      <c r="BJ12" s="8" t="s">
        <v>329</v>
      </c>
      <c r="BK12" s="8" t="s">
        <v>330</v>
      </c>
      <c r="BL12" s="8" t="s">
        <v>331</v>
      </c>
    </row>
    <row r="13" spans="1:64" ht="130.5" x14ac:dyDescent="0.35">
      <c r="A13" s="46" t="s">
        <v>122</v>
      </c>
      <c r="B13" s="41" t="s">
        <v>410</v>
      </c>
      <c r="C13" s="41" t="s">
        <v>411</v>
      </c>
      <c r="D13" s="41"/>
      <c r="E13" s="9" t="s">
        <v>434</v>
      </c>
      <c r="F13" s="9"/>
      <c r="G13" s="9"/>
      <c r="H13" s="41"/>
      <c r="I13" s="8"/>
      <c r="J13" s="8"/>
      <c r="K13" s="8"/>
      <c r="L13" s="8"/>
      <c r="M13" s="8"/>
      <c r="N13" s="8"/>
      <c r="O13" s="8"/>
      <c r="P13" s="8"/>
      <c r="Q13" s="8"/>
      <c r="R13" s="19"/>
      <c r="S13" s="19"/>
      <c r="T13" s="19"/>
      <c r="U13" s="8"/>
      <c r="V13" s="37"/>
      <c r="W13" s="41" t="s">
        <v>412</v>
      </c>
      <c r="X13" s="41" t="s">
        <v>361</v>
      </c>
      <c r="Y13" s="8" t="s">
        <v>65</v>
      </c>
      <c r="Z13" s="8" t="s">
        <v>65</v>
      </c>
      <c r="AA13" s="37">
        <v>0.1</v>
      </c>
      <c r="AB13" s="44" t="s">
        <v>445</v>
      </c>
      <c r="AC13" s="41" t="s">
        <v>446</v>
      </c>
      <c r="AD13" s="63">
        <v>44958</v>
      </c>
      <c r="AE13" s="63">
        <v>45275</v>
      </c>
      <c r="AF13" s="44" t="s">
        <v>447</v>
      </c>
      <c r="AG13" s="45" t="s">
        <v>448</v>
      </c>
      <c r="AH13" s="64">
        <v>0.8</v>
      </c>
      <c r="AI13" s="65" t="s">
        <v>87</v>
      </c>
      <c r="AJ13" s="37" t="s">
        <v>65</v>
      </c>
      <c r="AK13" s="65"/>
      <c r="AL13" s="65"/>
      <c r="AM13" s="64">
        <v>0.8</v>
      </c>
      <c r="AN13" s="64">
        <v>0.8</v>
      </c>
      <c r="AO13" s="37">
        <v>0.8</v>
      </c>
      <c r="AP13" s="37"/>
      <c r="AQ13" s="37"/>
      <c r="AR13" s="37"/>
      <c r="AS13" s="62"/>
      <c r="AT13" s="62"/>
      <c r="AU13" s="62"/>
      <c r="AV13" s="62"/>
      <c r="AW13" s="62"/>
      <c r="AX13" s="62"/>
      <c r="AY13" s="62"/>
      <c r="AZ13" s="62"/>
      <c r="BA13" s="62"/>
      <c r="BB13" s="17" t="e">
        <f>AVERAGE(Tabla148[[#This Row],[Enero ]:[Dic]])</f>
        <v>#DIV/0!</v>
      </c>
      <c r="BC13" s="17" t="str">
        <f>IFERROR(IF(AO13=0,"",IF((BB13/AO13)&gt;100%,100%,(BB13/AO13))),"")</f>
        <v/>
      </c>
      <c r="BD13" s="17" t="str">
        <f>IFERROR(BC13*AA13,"")</f>
        <v/>
      </c>
      <c r="BE13" s="17"/>
      <c r="BF13" s="17"/>
      <c r="BG13" s="17"/>
      <c r="BH13" s="17"/>
      <c r="BI13" s="28" t="s">
        <v>308</v>
      </c>
      <c r="BJ13" s="8" t="s">
        <v>329</v>
      </c>
      <c r="BK13" s="8" t="s">
        <v>330</v>
      </c>
      <c r="BL13" s="8" t="s">
        <v>331</v>
      </c>
    </row>
    <row r="14" spans="1:64" ht="58" x14ac:dyDescent="0.35">
      <c r="A14" s="46" t="s">
        <v>122</v>
      </c>
      <c r="B14" s="41" t="s">
        <v>410</v>
      </c>
      <c r="C14" s="41" t="s">
        <v>411</v>
      </c>
      <c r="D14" s="41"/>
      <c r="E14" s="9" t="s">
        <v>434</v>
      </c>
      <c r="F14" s="9"/>
      <c r="G14" s="9"/>
      <c r="H14" s="41"/>
      <c r="I14" s="8"/>
      <c r="J14" s="8"/>
      <c r="K14" s="8"/>
      <c r="L14" s="8"/>
      <c r="M14" s="8"/>
      <c r="N14" s="8"/>
      <c r="O14" s="8"/>
      <c r="P14" s="8"/>
      <c r="Q14" s="8"/>
      <c r="R14" s="19"/>
      <c r="S14" s="19"/>
      <c r="T14" s="19"/>
      <c r="U14" s="8"/>
      <c r="V14" s="37"/>
      <c r="W14" s="41" t="s">
        <v>412</v>
      </c>
      <c r="X14" s="41" t="s">
        <v>361</v>
      </c>
      <c r="Y14" s="8" t="s">
        <v>65</v>
      </c>
      <c r="Z14" s="8" t="s">
        <v>65</v>
      </c>
      <c r="AA14" s="37">
        <v>0.3</v>
      </c>
      <c r="AB14" s="41" t="s">
        <v>449</v>
      </c>
      <c r="AC14" s="44" t="s">
        <v>450</v>
      </c>
      <c r="AD14" s="49">
        <v>44928</v>
      </c>
      <c r="AE14" s="49">
        <v>45289</v>
      </c>
      <c r="AF14" s="41" t="s">
        <v>451</v>
      </c>
      <c r="AG14" s="8" t="s">
        <v>452</v>
      </c>
      <c r="AH14" s="53">
        <v>2</v>
      </c>
      <c r="AI14" s="65" t="s">
        <v>87</v>
      </c>
      <c r="AJ14" s="37" t="s">
        <v>65</v>
      </c>
      <c r="AK14" s="53"/>
      <c r="AL14" s="53"/>
      <c r="AM14" s="53">
        <v>1</v>
      </c>
      <c r="AN14" s="53">
        <v>1</v>
      </c>
      <c r="AO14" s="53">
        <f>SUM(Tabla148[[#This Row],[TRIM I   ]:[TRIM IV     ]])</f>
        <v>2</v>
      </c>
      <c r="AP14" s="53"/>
      <c r="AQ14" s="53"/>
      <c r="AR14" s="53"/>
      <c r="AS14" s="23"/>
      <c r="AT14" s="23"/>
      <c r="AU14" s="23"/>
      <c r="AV14" s="23"/>
      <c r="AW14" s="23"/>
      <c r="AX14" s="23"/>
      <c r="AY14" s="23"/>
      <c r="AZ14" s="23"/>
      <c r="BA14" s="23"/>
      <c r="BB14" s="8">
        <f>SUM(Tabla148[[#This Row],[Enero ]:[Dic]])</f>
        <v>0</v>
      </c>
      <c r="BC14" s="17">
        <f t="shared" si="0"/>
        <v>0</v>
      </c>
      <c r="BD14" s="17">
        <f>IFERROR(BC14*AA14,"")</f>
        <v>0</v>
      </c>
      <c r="BE14" s="17"/>
      <c r="BF14" s="17"/>
      <c r="BG14" s="17"/>
      <c r="BH14" s="17"/>
      <c r="BI14" s="28" t="s">
        <v>308</v>
      </c>
      <c r="BJ14" s="8" t="s">
        <v>329</v>
      </c>
      <c r="BK14" s="8" t="s">
        <v>330</v>
      </c>
      <c r="BL14" s="8" t="s">
        <v>331</v>
      </c>
    </row>
    <row r="15" spans="1:64" x14ac:dyDescent="0.35">
      <c r="A15" s="149"/>
      <c r="B15" s="149"/>
      <c r="C15" s="150"/>
      <c r="D15" s="150"/>
      <c r="E15" s="150"/>
      <c r="F15" s="150"/>
      <c r="G15" s="150"/>
      <c r="H15" s="150"/>
      <c r="I15" s="151"/>
      <c r="J15" s="151"/>
      <c r="K15" s="151"/>
      <c r="L15" s="151"/>
      <c r="M15" s="151"/>
      <c r="N15" s="151"/>
      <c r="O15" s="151"/>
      <c r="P15" s="151"/>
      <c r="Q15" s="151"/>
      <c r="R15" s="151"/>
      <c r="S15" s="151"/>
      <c r="T15" s="151"/>
      <c r="U15" s="151"/>
      <c r="V15" s="151"/>
      <c r="W15" s="150"/>
      <c r="X15" s="150"/>
      <c r="Y15" s="151"/>
      <c r="Z15" s="151"/>
      <c r="AA15" s="151"/>
      <c r="AB15" s="150"/>
      <c r="AC15" s="149"/>
      <c r="AD15" s="156"/>
      <c r="AE15" s="156"/>
      <c r="AF15" s="149"/>
      <c r="AG15" s="156"/>
      <c r="AH15" s="156"/>
      <c r="AI15" s="156"/>
      <c r="AJ15" s="156"/>
      <c r="AK15" s="156"/>
      <c r="AL15" s="156"/>
      <c r="AM15" s="156"/>
      <c r="AN15" s="156"/>
      <c r="AO15" s="156"/>
      <c r="AP15" s="157"/>
      <c r="AQ15" s="157"/>
      <c r="AR15" s="157"/>
      <c r="AS15" s="158"/>
      <c r="AT15" s="158"/>
      <c r="AU15" s="158"/>
      <c r="AV15" s="158"/>
      <c r="AW15" s="158"/>
      <c r="AX15" s="158"/>
      <c r="AY15" s="158"/>
      <c r="AZ15" s="158"/>
      <c r="BA15" s="158"/>
      <c r="BB15" s="157"/>
      <c r="BC15" s="157"/>
      <c r="BD15" s="160">
        <f>SUM(Tabla148[Avance ponderado de la actividad])</f>
        <v>0.12</v>
      </c>
      <c r="BE15" s="155"/>
      <c r="BF15" s="155"/>
      <c r="BG15" s="155"/>
      <c r="BH15" s="155"/>
      <c r="BI15" s="156"/>
      <c r="BJ15" s="156"/>
      <c r="BK15" s="156"/>
      <c r="BL15" s="156"/>
    </row>
    <row r="17" spans="1:62" hidden="1" x14ac:dyDescent="0.35">
      <c r="BG17" s="100" t="s">
        <v>846</v>
      </c>
      <c r="BH17" s="100"/>
      <c r="BI17" s="100" t="s">
        <v>534</v>
      </c>
      <c r="BJ17" s="100" t="s">
        <v>535</v>
      </c>
    </row>
    <row r="18" spans="1:62" hidden="1" x14ac:dyDescent="0.35">
      <c r="BD18" s="99" t="s">
        <v>530</v>
      </c>
      <c r="BF18" s="100">
        <f>+BF10</f>
        <v>0.12</v>
      </c>
      <c r="BG18" s="108">
        <f>BF20/BF18</f>
        <v>1</v>
      </c>
      <c r="BH18" s="109"/>
      <c r="BI18" s="108">
        <v>0.97</v>
      </c>
    </row>
    <row r="19" spans="1:62" hidden="1" x14ac:dyDescent="0.35">
      <c r="BD19" s="101" t="s">
        <v>526</v>
      </c>
      <c r="BF19" s="104">
        <f>(BF18*(AVERAGE(Tabla148[[Reporte Oportuno Meta de Objetivo]:[Reporte Oportuno Actividad]])))</f>
        <v>0.12</v>
      </c>
    </row>
    <row r="20" spans="1:62" hidden="1" x14ac:dyDescent="0.35">
      <c r="BD20" t="s">
        <v>531</v>
      </c>
      <c r="BF20" s="103">
        <f>AVERAGE(BF18:BF19)</f>
        <v>0.12</v>
      </c>
    </row>
    <row r="21" spans="1:62" hidden="1" x14ac:dyDescent="0.35"/>
    <row r="22" spans="1:62" x14ac:dyDescent="0.35">
      <c r="A22" s="54" t="s">
        <v>4</v>
      </c>
      <c r="B22" s="323" t="s">
        <v>468</v>
      </c>
      <c r="C22" s="324"/>
      <c r="D22" s="66"/>
    </row>
    <row r="23" spans="1:62" ht="76" customHeight="1" x14ac:dyDescent="0.35">
      <c r="A23" s="41" t="s">
        <v>5</v>
      </c>
      <c r="B23" s="310"/>
      <c r="C23" s="311"/>
      <c r="D23" s="7"/>
    </row>
    <row r="24" spans="1:62" x14ac:dyDescent="0.35">
      <c r="A24" s="6"/>
      <c r="B24" s="6"/>
    </row>
    <row r="26" spans="1:62" x14ac:dyDescent="0.35">
      <c r="A26" s="59"/>
      <c r="B26" s="59"/>
    </row>
    <row r="27" spans="1:62" x14ac:dyDescent="0.35">
      <c r="A27" s="59" t="s">
        <v>546</v>
      </c>
      <c r="B27" s="59"/>
    </row>
    <row r="28" spans="1:62" x14ac:dyDescent="0.35">
      <c r="A28" s="1" t="s">
        <v>1</v>
      </c>
    </row>
  </sheetData>
  <mergeCells count="18">
    <mergeCell ref="AP8:AR8"/>
    <mergeCell ref="AS8:AU8"/>
    <mergeCell ref="AV8:AX8"/>
    <mergeCell ref="AY8:BA8"/>
    <mergeCell ref="B1:BL1"/>
    <mergeCell ref="U7:V8"/>
    <mergeCell ref="W7:Z8"/>
    <mergeCell ref="AB7:AE8"/>
    <mergeCell ref="AF7:AI8"/>
    <mergeCell ref="AK7:AO8"/>
    <mergeCell ref="AP7:BA7"/>
    <mergeCell ref="BI7:BL8"/>
    <mergeCell ref="BB7:BH8"/>
    <mergeCell ref="B22:C22"/>
    <mergeCell ref="B23:C23"/>
    <mergeCell ref="L7:P8"/>
    <mergeCell ref="Q7:T8"/>
    <mergeCell ref="E7:J8"/>
  </mergeCells>
  <phoneticPr fontId="4" type="noConversion"/>
  <dataValidations count="1">
    <dataValidation type="textLength" showInputMessage="1" showErrorMessage="1" promptTitle="CARACTERES PERMITIDOS EN EL ASE" prompt="La extensión del texto no debe superar 90 caracteres." sqref="AB10:AB12" xr:uid="{8497A626-D11F-4991-ABEC-3801FCFB3393}">
      <formula1>0</formula1>
      <formula2>90</formula2>
    </dataValidation>
  </dataValidations>
  <pageMargins left="0.7" right="0.7" top="0.75" bottom="0.75" header="0.3" footer="0.3"/>
  <pageSetup orientation="portrait" r:id="rId1"/>
  <ignoredErrors>
    <ignoredError sqref="AO13"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780F-36F8-49EA-A9A0-E784DEECB25E}">
  <dimension ref="A1:BL27"/>
  <sheetViews>
    <sheetView showGridLines="0" zoomScale="70" zoomScaleNormal="70" workbookViewId="0">
      <selection activeCell="AL9" sqref="AL9"/>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7" hidden="1" customWidth="1"/>
    <col min="21" max="22" width="22.1796875" style="7" hidden="1" customWidth="1"/>
    <col min="23" max="24" width="40.54296875" style="6" customWidth="1"/>
    <col min="25" max="27" width="40.54296875" style="7" customWidth="1"/>
    <col min="28" max="28" width="44.54296875" style="6" customWidth="1"/>
    <col min="29" max="29" width="44.54296875" style="5" customWidth="1"/>
    <col min="30" max="30" width="23" style="4" hidden="1" customWidth="1"/>
    <col min="31" max="31" width="23.1796875" style="4" hidden="1" customWidth="1"/>
    <col min="32" max="32" width="27.54296875" style="5" hidden="1" customWidth="1"/>
    <col min="33" max="34" width="27.54296875" style="4" customWidth="1"/>
    <col min="35" max="36" width="27.54296875" style="4" hidden="1"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14" t="s">
        <v>462</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row>
    <row r="2" spans="1:64" ht="26.15" customHeight="1" x14ac:dyDescent="0.35">
      <c r="C2" s="5"/>
      <c r="D2" s="5"/>
      <c r="E2" s="5"/>
      <c r="F2" s="5"/>
      <c r="G2" s="5"/>
      <c r="H2" s="4"/>
      <c r="I2" s="4"/>
      <c r="J2" s="4"/>
      <c r="K2" s="4"/>
      <c r="L2" s="4"/>
      <c r="M2" s="4"/>
      <c r="N2" s="4"/>
      <c r="O2" s="4"/>
      <c r="P2" s="4"/>
      <c r="Q2" s="4"/>
      <c r="R2" s="4"/>
      <c r="S2" s="4"/>
      <c r="T2" s="4"/>
      <c r="U2" s="4"/>
      <c r="V2" s="4"/>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4"/>
      <c r="I3" s="4"/>
      <c r="J3" s="4"/>
      <c r="K3" s="4"/>
      <c r="L3" s="4"/>
      <c r="M3" s="4"/>
      <c r="N3" s="4"/>
      <c r="O3" s="4"/>
      <c r="P3" s="4"/>
      <c r="Q3" s="4"/>
      <c r="R3" s="4"/>
      <c r="S3" s="4"/>
      <c r="T3" s="4"/>
      <c r="U3" s="4"/>
      <c r="V3" s="4"/>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6" t="s">
        <v>536</v>
      </c>
      <c r="B4" s="107">
        <f>+BG17</f>
        <v>0.99</v>
      </c>
      <c r="C4" s="5"/>
      <c r="D4" s="5"/>
      <c r="E4" s="5"/>
      <c r="F4" s="5"/>
      <c r="G4" s="5"/>
      <c r="H4" s="4"/>
      <c r="I4" s="4"/>
      <c r="J4" s="4"/>
      <c r="K4" s="4"/>
      <c r="L4" s="4"/>
      <c r="M4" s="4"/>
      <c r="N4" s="4"/>
      <c r="O4" s="4"/>
      <c r="P4" s="4"/>
      <c r="Q4" s="4"/>
      <c r="R4" s="4"/>
      <c r="S4" s="4"/>
      <c r="T4" s="4"/>
      <c r="U4" s="4"/>
      <c r="V4" s="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6" t="s">
        <v>537</v>
      </c>
      <c r="B5" s="107">
        <f>+BF19</f>
        <v>0.19800000000000001</v>
      </c>
      <c r="C5" s="5"/>
      <c r="D5" s="5"/>
      <c r="E5" s="5"/>
      <c r="F5" s="5"/>
      <c r="G5" s="5"/>
      <c r="H5" s="4"/>
      <c r="I5" s="4"/>
      <c r="J5" s="4"/>
      <c r="K5" s="4"/>
      <c r="L5" s="4"/>
      <c r="M5" s="4"/>
      <c r="N5" s="4"/>
      <c r="O5" s="4"/>
      <c r="P5" s="4"/>
      <c r="Q5" s="4"/>
      <c r="R5" s="4"/>
      <c r="S5" s="4"/>
      <c r="T5" s="4"/>
      <c r="U5" s="4"/>
      <c r="V5" s="4"/>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s="4"/>
      <c r="R6" s="4"/>
      <c r="S6" s="4"/>
      <c r="T6" s="4"/>
      <c r="U6" s="4"/>
      <c r="V6" s="4"/>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12" t="s">
        <v>48</v>
      </c>
      <c r="B7" s="312"/>
      <c r="C7" s="312"/>
      <c r="D7" s="312"/>
      <c r="E7" s="312"/>
      <c r="F7" s="312"/>
      <c r="G7" s="312"/>
      <c r="H7" s="312"/>
      <c r="I7" s="312"/>
      <c r="J7" s="312"/>
      <c r="K7" s="110"/>
      <c r="L7" s="315" t="s">
        <v>52</v>
      </c>
      <c r="M7" s="316"/>
      <c r="N7" s="316"/>
      <c r="O7" s="316"/>
      <c r="P7" s="317"/>
      <c r="Q7" s="312" t="s">
        <v>27</v>
      </c>
      <c r="R7" s="312"/>
      <c r="S7" s="312"/>
      <c r="T7" s="312"/>
      <c r="U7" s="312" t="s">
        <v>41</v>
      </c>
      <c r="V7" s="312"/>
      <c r="W7" s="315" t="s">
        <v>10</v>
      </c>
      <c r="X7" s="316"/>
      <c r="Y7" s="316"/>
      <c r="Z7" s="317"/>
      <c r="AA7" s="111"/>
      <c r="AB7" s="312" t="s">
        <v>20</v>
      </c>
      <c r="AC7" s="312"/>
      <c r="AD7" s="312"/>
      <c r="AE7" s="312"/>
      <c r="AF7" s="315" t="s">
        <v>49</v>
      </c>
      <c r="AG7" s="316"/>
      <c r="AH7" s="316"/>
      <c r="AI7" s="317"/>
      <c r="AJ7" s="111"/>
      <c r="AK7" s="315" t="s">
        <v>21</v>
      </c>
      <c r="AL7" s="316"/>
      <c r="AM7" s="316"/>
      <c r="AN7" s="316"/>
      <c r="AO7" s="317"/>
      <c r="AP7" s="328" t="s">
        <v>27</v>
      </c>
      <c r="AQ7" s="329"/>
      <c r="AR7" s="329"/>
      <c r="AS7" s="329"/>
      <c r="AT7" s="329"/>
      <c r="AU7" s="329"/>
      <c r="AV7" s="329"/>
      <c r="AW7" s="329"/>
      <c r="AX7" s="329"/>
      <c r="AY7" s="329"/>
      <c r="AZ7" s="329"/>
      <c r="BA7" s="329"/>
      <c r="BB7" s="330" t="s">
        <v>41</v>
      </c>
      <c r="BC7" s="331"/>
      <c r="BD7" s="331"/>
      <c r="BE7" s="331"/>
      <c r="BF7" s="331"/>
      <c r="BG7" s="331"/>
      <c r="BH7" s="332"/>
      <c r="BI7" s="321"/>
      <c r="BJ7" s="321"/>
      <c r="BK7" s="321"/>
      <c r="BL7" s="321"/>
    </row>
    <row r="8" spans="1:64" ht="30.65" customHeight="1" x14ac:dyDescent="0.35">
      <c r="A8" s="312"/>
      <c r="B8" s="312"/>
      <c r="C8" s="312"/>
      <c r="D8" s="312"/>
      <c r="E8" s="312"/>
      <c r="F8" s="312"/>
      <c r="G8" s="312"/>
      <c r="H8" s="312"/>
      <c r="I8" s="312"/>
      <c r="J8" s="312"/>
      <c r="K8" s="112"/>
      <c r="L8" s="318"/>
      <c r="M8" s="319"/>
      <c r="N8" s="319"/>
      <c r="O8" s="319"/>
      <c r="P8" s="320"/>
      <c r="Q8" s="312"/>
      <c r="R8" s="312"/>
      <c r="S8" s="312"/>
      <c r="T8" s="312"/>
      <c r="U8" s="312"/>
      <c r="V8" s="312"/>
      <c r="W8" s="318"/>
      <c r="X8" s="319"/>
      <c r="Y8" s="319"/>
      <c r="Z8" s="320"/>
      <c r="AA8" s="113"/>
      <c r="AB8" s="312"/>
      <c r="AC8" s="312"/>
      <c r="AD8" s="312"/>
      <c r="AE8" s="312"/>
      <c r="AF8" s="318"/>
      <c r="AG8" s="319"/>
      <c r="AH8" s="319"/>
      <c r="AI8" s="320"/>
      <c r="AJ8" s="113"/>
      <c r="AK8" s="318"/>
      <c r="AL8" s="319"/>
      <c r="AM8" s="319"/>
      <c r="AN8" s="319"/>
      <c r="AO8" s="320"/>
      <c r="AP8" s="325" t="s">
        <v>22</v>
      </c>
      <c r="AQ8" s="326"/>
      <c r="AR8" s="326"/>
      <c r="AS8" s="325" t="s">
        <v>23</v>
      </c>
      <c r="AT8" s="326"/>
      <c r="AU8" s="327"/>
      <c r="AV8" s="325" t="s">
        <v>24</v>
      </c>
      <c r="AW8" s="326"/>
      <c r="AX8" s="327"/>
      <c r="AY8" s="325" t="s">
        <v>25</v>
      </c>
      <c r="AZ8" s="326"/>
      <c r="BA8" s="326"/>
      <c r="BB8" s="318"/>
      <c r="BC8" s="319"/>
      <c r="BD8" s="319"/>
      <c r="BE8" s="319"/>
      <c r="BF8" s="319"/>
      <c r="BG8" s="319"/>
      <c r="BH8" s="320"/>
      <c r="BI8" s="322"/>
      <c r="BJ8" s="322"/>
      <c r="BK8" s="322"/>
      <c r="BL8" s="322"/>
    </row>
    <row r="9" spans="1:64" ht="105.65" customHeight="1" x14ac:dyDescent="0.35">
      <c r="A9" s="114" t="s">
        <v>7</v>
      </c>
      <c r="B9" s="114" t="s">
        <v>8</v>
      </c>
      <c r="C9" s="114" t="s">
        <v>9</v>
      </c>
      <c r="D9" s="115" t="s">
        <v>532</v>
      </c>
      <c r="E9" s="115" t="s">
        <v>50</v>
      </c>
      <c r="F9" s="116" t="s">
        <v>541</v>
      </c>
      <c r="G9" s="116" t="s">
        <v>542</v>
      </c>
      <c r="H9" s="116" t="s">
        <v>14</v>
      </c>
      <c r="I9" s="116" t="s">
        <v>64</v>
      </c>
      <c r="J9" s="116" t="s">
        <v>16</v>
      </c>
      <c r="K9" s="116" t="s">
        <v>543</v>
      </c>
      <c r="L9" s="117" t="s">
        <v>22</v>
      </c>
      <c r="M9" s="117" t="s">
        <v>23</v>
      </c>
      <c r="N9" s="117" t="s">
        <v>24</v>
      </c>
      <c r="O9" s="117" t="s">
        <v>25</v>
      </c>
      <c r="P9" s="118" t="s">
        <v>26</v>
      </c>
      <c r="Q9" s="117" t="s">
        <v>53</v>
      </c>
      <c r="R9" s="117" t="s">
        <v>54</v>
      </c>
      <c r="S9" s="117" t="s">
        <v>43</v>
      </c>
      <c r="T9" s="117" t="s">
        <v>55</v>
      </c>
      <c r="U9" s="117" t="s">
        <v>46</v>
      </c>
      <c r="V9" s="117" t="s">
        <v>51</v>
      </c>
      <c r="W9" s="114" t="s">
        <v>0</v>
      </c>
      <c r="X9" s="114" t="s">
        <v>2</v>
      </c>
      <c r="Y9" s="117" t="s">
        <v>11</v>
      </c>
      <c r="Z9" s="117" t="s">
        <v>12</v>
      </c>
      <c r="AA9" s="117" t="s">
        <v>544</v>
      </c>
      <c r="AB9" s="114" t="s">
        <v>17</v>
      </c>
      <c r="AC9" s="114" t="s">
        <v>6</v>
      </c>
      <c r="AD9" s="116" t="s">
        <v>18</v>
      </c>
      <c r="AE9" s="116" t="s">
        <v>19</v>
      </c>
      <c r="AF9" s="115" t="s">
        <v>13</v>
      </c>
      <c r="AG9" s="116" t="s">
        <v>57</v>
      </c>
      <c r="AH9" s="116" t="s">
        <v>15</v>
      </c>
      <c r="AI9" s="116" t="s">
        <v>58</v>
      </c>
      <c r="AJ9" s="116" t="s">
        <v>545</v>
      </c>
      <c r="AK9" s="119" t="s">
        <v>42</v>
      </c>
      <c r="AL9" s="119" t="s">
        <v>59</v>
      </c>
      <c r="AM9" s="119" t="s">
        <v>60</v>
      </c>
      <c r="AN9" s="119" t="s">
        <v>44</v>
      </c>
      <c r="AO9" s="120" t="s">
        <v>61</v>
      </c>
      <c r="AP9" s="121" t="s">
        <v>28</v>
      </c>
      <c r="AQ9" s="121" t="s">
        <v>29</v>
      </c>
      <c r="AR9" s="121" t="s">
        <v>30</v>
      </c>
      <c r="AS9" s="121" t="s">
        <v>31</v>
      </c>
      <c r="AT9" s="121" t="s">
        <v>32</v>
      </c>
      <c r="AU9" s="121" t="s">
        <v>33</v>
      </c>
      <c r="AV9" s="121" t="s">
        <v>34</v>
      </c>
      <c r="AW9" s="121" t="s">
        <v>35</v>
      </c>
      <c r="AX9" s="121" t="s">
        <v>36</v>
      </c>
      <c r="AY9" s="121" t="s">
        <v>37</v>
      </c>
      <c r="AZ9" s="121" t="s">
        <v>38</v>
      </c>
      <c r="BA9" s="121" t="s">
        <v>39</v>
      </c>
      <c r="BB9" s="117" t="s">
        <v>40</v>
      </c>
      <c r="BC9" s="117" t="s">
        <v>45</v>
      </c>
      <c r="BD9" s="117" t="s">
        <v>528</v>
      </c>
      <c r="BE9" s="117" t="s">
        <v>527</v>
      </c>
      <c r="BF9" s="117" t="s">
        <v>529</v>
      </c>
      <c r="BG9" s="117" t="s">
        <v>524</v>
      </c>
      <c r="BH9" s="117" t="s">
        <v>525</v>
      </c>
      <c r="BI9" s="117" t="s">
        <v>504</v>
      </c>
      <c r="BJ9" s="117" t="s">
        <v>512</v>
      </c>
      <c r="BK9" s="117" t="s">
        <v>3</v>
      </c>
      <c r="BL9" s="117" t="s">
        <v>56</v>
      </c>
    </row>
    <row r="10" spans="1:64" ht="43.5" x14ac:dyDescent="0.35">
      <c r="A10" s="46" t="s">
        <v>321</v>
      </c>
      <c r="B10" s="48" t="s">
        <v>322</v>
      </c>
      <c r="C10" s="41" t="s">
        <v>323</v>
      </c>
      <c r="D10" s="25">
        <v>1</v>
      </c>
      <c r="E10" s="41" t="s">
        <v>324</v>
      </c>
      <c r="F10" s="25">
        <v>1</v>
      </c>
      <c r="G10" s="37" t="s">
        <v>65</v>
      </c>
      <c r="H10" s="8" t="s">
        <v>325</v>
      </c>
      <c r="I10" s="8">
        <v>3</v>
      </c>
      <c r="J10" s="8" t="s">
        <v>387</v>
      </c>
      <c r="K10" s="37" t="s">
        <v>65</v>
      </c>
      <c r="L10" s="8"/>
      <c r="M10" s="8"/>
      <c r="N10" s="8"/>
      <c r="O10" s="8">
        <v>3</v>
      </c>
      <c r="P10" s="8">
        <f>SUM(Tabla147[[#This Row],[TRIM I]:[TRIM IV]])</f>
        <v>3</v>
      </c>
      <c r="Q10" s="8"/>
      <c r="R10" s="19"/>
      <c r="S10" s="19"/>
      <c r="T10" s="19"/>
      <c r="U10" s="8">
        <f>SUM(Tabla147[[#This Row],[TRIM I    ]:[TRIM IV    ]])</f>
        <v>0</v>
      </c>
      <c r="V10" s="25">
        <f>IFERROR(IF(P10=0,"",IF((U10/P10)&gt;100%,100%,(U10/P10))),"")</f>
        <v>0</v>
      </c>
      <c r="W10" s="41" t="s">
        <v>160</v>
      </c>
      <c r="X10" s="41" t="s">
        <v>160</v>
      </c>
      <c r="Y10" s="8" t="s">
        <v>65</v>
      </c>
      <c r="Z10" s="8" t="s">
        <v>65</v>
      </c>
      <c r="AA10" s="37">
        <v>0.2</v>
      </c>
      <c r="AB10" s="41" t="s">
        <v>326</v>
      </c>
      <c r="AC10" s="41" t="s">
        <v>413</v>
      </c>
      <c r="AD10" s="67">
        <v>44958</v>
      </c>
      <c r="AE10" s="49">
        <v>45289</v>
      </c>
      <c r="AF10" s="41" t="s">
        <v>327</v>
      </c>
      <c r="AG10" s="8" t="s">
        <v>328</v>
      </c>
      <c r="AH10" s="8">
        <v>2</v>
      </c>
      <c r="AI10" s="8" t="s">
        <v>388</v>
      </c>
      <c r="AJ10" s="37" t="s">
        <v>65</v>
      </c>
      <c r="AK10" s="8"/>
      <c r="AL10" s="8">
        <v>1</v>
      </c>
      <c r="AM10" s="8"/>
      <c r="AN10" s="8">
        <v>1</v>
      </c>
      <c r="AO10" s="8">
        <v>2</v>
      </c>
      <c r="AP10" s="8"/>
      <c r="AQ10" s="8"/>
      <c r="AR10" s="8"/>
      <c r="AS10" s="19"/>
      <c r="AT10" s="19"/>
      <c r="AU10" s="19">
        <v>1</v>
      </c>
      <c r="AV10" s="19"/>
      <c r="AW10" s="19"/>
      <c r="AX10" s="19"/>
      <c r="AY10" s="19"/>
      <c r="AZ10" s="19"/>
      <c r="BA10" s="19"/>
      <c r="BB10" s="8">
        <f>SUM(Tabla147[[#This Row],[Enero ]:[Dic]])</f>
        <v>1</v>
      </c>
      <c r="BC10" s="25">
        <f>IFERROR(IF(AO10=0,"",IF((BB10/AO10)&gt;100%,100%,(BB10/AO10))),"")</f>
        <v>0.5</v>
      </c>
      <c r="BD10" s="25">
        <f>IFERROR(BC10*AA10,"")</f>
        <v>0.1</v>
      </c>
      <c r="BE10" s="25">
        <f>Tabla147[[#Totals],[Avance ponderado de la actividad]]*Tabla147[[#This Row],[Peso porcentual de la Meta de Objetivo]]</f>
        <v>0.2</v>
      </c>
      <c r="BF10" s="25">
        <f>Tabla147[[#This Row],[Avance ponderado frente a la meta de objetivo]]*Tabla147[[#This Row],[Peso Porcentual del Objetivo Estratégico]]</f>
        <v>0.2</v>
      </c>
      <c r="BG10" s="25"/>
      <c r="BH10" s="25">
        <v>0.98</v>
      </c>
      <c r="BI10" s="28" t="s">
        <v>308</v>
      </c>
      <c r="BJ10" s="8" t="s">
        <v>329</v>
      </c>
      <c r="BK10" s="8" t="s">
        <v>330</v>
      </c>
      <c r="BL10" s="8" t="s">
        <v>331</v>
      </c>
    </row>
    <row r="11" spans="1:64" ht="43.5" x14ac:dyDescent="0.35">
      <c r="A11" s="46" t="s">
        <v>321</v>
      </c>
      <c r="B11" s="48" t="s">
        <v>322</v>
      </c>
      <c r="C11" s="41" t="s">
        <v>323</v>
      </c>
      <c r="D11" s="41"/>
      <c r="E11" s="41" t="s">
        <v>324</v>
      </c>
      <c r="F11" s="41"/>
      <c r="G11" s="41"/>
      <c r="H11" s="8"/>
      <c r="I11" s="8"/>
      <c r="J11" s="8"/>
      <c r="K11" s="8"/>
      <c r="L11" s="8"/>
      <c r="M11" s="8"/>
      <c r="N11" s="8"/>
      <c r="O11" s="8"/>
      <c r="P11" s="8"/>
      <c r="Q11" s="8"/>
      <c r="R11" s="19"/>
      <c r="S11" s="19"/>
      <c r="T11" s="19"/>
      <c r="U11" s="8"/>
      <c r="V11" s="37" t="str">
        <f t="shared" ref="V11:V13" si="0">IFERROR(IF(P11=0,"",IF((U11/P11)&gt;100%,100%,(U11/P11))),"")</f>
        <v/>
      </c>
      <c r="W11" s="41" t="s">
        <v>160</v>
      </c>
      <c r="X11" s="41" t="s">
        <v>160</v>
      </c>
      <c r="Y11" s="8" t="s">
        <v>65</v>
      </c>
      <c r="Z11" s="8" t="s">
        <v>65</v>
      </c>
      <c r="AA11" s="37">
        <v>0.2</v>
      </c>
      <c r="AB11" s="54" t="s">
        <v>414</v>
      </c>
      <c r="AC11" s="41" t="s">
        <v>332</v>
      </c>
      <c r="AD11" s="67">
        <v>44928</v>
      </c>
      <c r="AE11" s="50">
        <v>45289</v>
      </c>
      <c r="AF11" s="41" t="s">
        <v>333</v>
      </c>
      <c r="AG11" s="8" t="s">
        <v>328</v>
      </c>
      <c r="AH11" s="53">
        <v>1</v>
      </c>
      <c r="AI11" s="8" t="s">
        <v>388</v>
      </c>
      <c r="AJ11" s="37" t="s">
        <v>65</v>
      </c>
      <c r="AK11" s="53"/>
      <c r="AL11" s="53"/>
      <c r="AM11" s="53"/>
      <c r="AN11" s="53">
        <v>1</v>
      </c>
      <c r="AO11" s="53">
        <v>1</v>
      </c>
      <c r="AP11" s="53"/>
      <c r="AQ11" s="53"/>
      <c r="AR11" s="53"/>
      <c r="AS11" s="23"/>
      <c r="AT11" s="23"/>
      <c r="AU11" s="23"/>
      <c r="AV11" s="23"/>
      <c r="AW11" s="23"/>
      <c r="AX11" s="23"/>
      <c r="AY11" s="23"/>
      <c r="AZ11" s="23"/>
      <c r="BA11" s="23"/>
      <c r="BB11" s="8">
        <f>SUM(Tabla147[[#This Row],[Enero ]:[Dic]])</f>
        <v>0</v>
      </c>
      <c r="BC11" s="17">
        <f>IFERROR(IF(AO11=0,"",IF((BB11/AO11)&gt;100%,100%,(BB11/AO11))),"")</f>
        <v>0</v>
      </c>
      <c r="BD11" s="17">
        <f>IFERROR(BC11*AA11,"")</f>
        <v>0</v>
      </c>
      <c r="BE11" s="17"/>
      <c r="BF11" s="17"/>
      <c r="BG11" s="17"/>
      <c r="BH11" s="17"/>
      <c r="BI11" s="28" t="s">
        <v>308</v>
      </c>
      <c r="BJ11" s="8" t="s">
        <v>329</v>
      </c>
      <c r="BK11" s="8" t="s">
        <v>330</v>
      </c>
      <c r="BL11" s="8" t="s">
        <v>331</v>
      </c>
    </row>
    <row r="12" spans="1:64" ht="43.5" x14ac:dyDescent="0.35">
      <c r="A12" s="46" t="s">
        <v>321</v>
      </c>
      <c r="B12" s="48" t="s">
        <v>322</v>
      </c>
      <c r="C12" s="41" t="s">
        <v>323</v>
      </c>
      <c r="D12" s="41"/>
      <c r="E12" s="41" t="s">
        <v>324</v>
      </c>
      <c r="F12" s="41"/>
      <c r="G12" s="41"/>
      <c r="H12" s="8"/>
      <c r="I12" s="8"/>
      <c r="J12" s="8"/>
      <c r="K12" s="8"/>
      <c r="L12" s="8"/>
      <c r="M12" s="8"/>
      <c r="N12" s="8"/>
      <c r="O12" s="8"/>
      <c r="P12" s="8"/>
      <c r="Q12" s="8"/>
      <c r="R12" s="19"/>
      <c r="S12" s="19"/>
      <c r="T12" s="19"/>
      <c r="U12" s="8"/>
      <c r="V12" s="37" t="str">
        <f t="shared" si="0"/>
        <v/>
      </c>
      <c r="W12" s="41" t="s">
        <v>160</v>
      </c>
      <c r="X12" s="41" t="s">
        <v>160</v>
      </c>
      <c r="Y12" s="8" t="s">
        <v>65</v>
      </c>
      <c r="Z12" s="8" t="s">
        <v>65</v>
      </c>
      <c r="AA12" s="37">
        <v>0.2</v>
      </c>
      <c r="AB12" s="54" t="s">
        <v>334</v>
      </c>
      <c r="AC12" s="41" t="s">
        <v>415</v>
      </c>
      <c r="AD12" s="67">
        <v>44928</v>
      </c>
      <c r="AE12" s="50">
        <v>45289</v>
      </c>
      <c r="AF12" s="41" t="s">
        <v>336</v>
      </c>
      <c r="AG12" s="8" t="s">
        <v>328</v>
      </c>
      <c r="AH12" s="53">
        <v>2</v>
      </c>
      <c r="AI12" s="8" t="s">
        <v>388</v>
      </c>
      <c r="AJ12" s="37" t="s">
        <v>65</v>
      </c>
      <c r="AK12" s="53">
        <v>1</v>
      </c>
      <c r="AL12" s="53"/>
      <c r="AM12" s="53"/>
      <c r="AN12" s="53">
        <v>1</v>
      </c>
      <c r="AO12" s="53">
        <v>2</v>
      </c>
      <c r="AP12" s="53"/>
      <c r="AQ12" s="53"/>
      <c r="AR12" s="53">
        <v>1</v>
      </c>
      <c r="AS12" s="23"/>
      <c r="AT12" s="23"/>
      <c r="AU12" s="23"/>
      <c r="AV12" s="23"/>
      <c r="AW12" s="23"/>
      <c r="AX12" s="23"/>
      <c r="AY12" s="23"/>
      <c r="AZ12" s="23"/>
      <c r="BA12" s="23"/>
      <c r="BB12" s="8">
        <f>SUM(Tabla147[[#This Row],[Enero ]:[Dic]])</f>
        <v>1</v>
      </c>
      <c r="BC12" s="17">
        <f t="shared" ref="BC12:BC13" si="1">IFERROR(IF(AO12=0,"",IF((BB12/AO12)&gt;100%,100%,(BB12/AO12))),"")</f>
        <v>0.5</v>
      </c>
      <c r="BD12" s="17">
        <f>IFERROR(BC12*AA12,"")</f>
        <v>0.1</v>
      </c>
      <c r="BE12" s="17"/>
      <c r="BF12" s="17"/>
      <c r="BG12" s="17"/>
      <c r="BH12" s="17"/>
      <c r="BI12" s="28" t="s">
        <v>308</v>
      </c>
      <c r="BJ12" s="8" t="s">
        <v>329</v>
      </c>
      <c r="BK12" s="8" t="s">
        <v>330</v>
      </c>
      <c r="BL12" s="8" t="s">
        <v>331</v>
      </c>
    </row>
    <row r="13" spans="1:64" ht="43.5" x14ac:dyDescent="0.35">
      <c r="A13" s="46" t="s">
        <v>321</v>
      </c>
      <c r="B13" s="48" t="s">
        <v>322</v>
      </c>
      <c r="C13" s="41" t="s">
        <v>323</v>
      </c>
      <c r="D13" s="41"/>
      <c r="E13" s="41" t="s">
        <v>324</v>
      </c>
      <c r="F13" s="41"/>
      <c r="G13" s="41"/>
      <c r="H13" s="8"/>
      <c r="I13" s="8"/>
      <c r="J13" s="8"/>
      <c r="K13" s="8"/>
      <c r="L13" s="8"/>
      <c r="M13" s="8"/>
      <c r="N13" s="8"/>
      <c r="O13" s="8"/>
      <c r="P13" s="8"/>
      <c r="Q13" s="8"/>
      <c r="R13" s="19"/>
      <c r="S13" s="19"/>
      <c r="T13" s="19"/>
      <c r="U13" s="8"/>
      <c r="V13" s="37" t="str">
        <f t="shared" si="0"/>
        <v/>
      </c>
      <c r="W13" s="8" t="s">
        <v>65</v>
      </c>
      <c r="X13" s="8" t="s">
        <v>65</v>
      </c>
      <c r="Y13" s="8" t="s">
        <v>65</v>
      </c>
      <c r="Z13" s="8" t="s">
        <v>65</v>
      </c>
      <c r="AA13" s="37">
        <v>0.4</v>
      </c>
      <c r="AB13" s="54" t="s">
        <v>337</v>
      </c>
      <c r="AC13" s="41" t="s">
        <v>338</v>
      </c>
      <c r="AD13" s="67">
        <v>44928</v>
      </c>
      <c r="AE13" s="50">
        <v>45289</v>
      </c>
      <c r="AF13" s="41" t="s">
        <v>339</v>
      </c>
      <c r="AG13" s="53" t="s">
        <v>340</v>
      </c>
      <c r="AH13" s="53">
        <v>1</v>
      </c>
      <c r="AI13" s="8" t="s">
        <v>389</v>
      </c>
      <c r="AJ13" s="37" t="s">
        <v>65</v>
      </c>
      <c r="AK13" s="53"/>
      <c r="AL13" s="53"/>
      <c r="AM13" s="53"/>
      <c r="AN13" s="53">
        <v>1</v>
      </c>
      <c r="AO13" s="53">
        <v>1</v>
      </c>
      <c r="AP13" s="53"/>
      <c r="AQ13" s="53"/>
      <c r="AR13" s="53"/>
      <c r="AS13" s="23"/>
      <c r="AT13" s="23"/>
      <c r="AU13" s="23"/>
      <c r="AV13" s="23"/>
      <c r="AW13" s="23"/>
      <c r="AX13" s="23"/>
      <c r="AY13" s="23"/>
      <c r="AZ13" s="23"/>
      <c r="BA13" s="23"/>
      <c r="BB13" s="8">
        <f>SUM(Tabla147[[#This Row],[Enero ]:[Dic]])</f>
        <v>0</v>
      </c>
      <c r="BC13" s="17">
        <f t="shared" si="1"/>
        <v>0</v>
      </c>
      <c r="BD13" s="17">
        <f>IFERROR(BC13*AA13,"")</f>
        <v>0</v>
      </c>
      <c r="BE13" s="17"/>
      <c r="BF13" s="17"/>
      <c r="BG13" s="17"/>
      <c r="BH13" s="17"/>
      <c r="BI13" s="28" t="s">
        <v>308</v>
      </c>
      <c r="BJ13" s="8" t="s">
        <v>329</v>
      </c>
      <c r="BK13" s="8" t="s">
        <v>330</v>
      </c>
      <c r="BL13" s="8" t="s">
        <v>331</v>
      </c>
    </row>
    <row r="14" spans="1:64" x14ac:dyDescent="0.35">
      <c r="A14" s="149"/>
      <c r="B14" s="149"/>
      <c r="C14" s="150"/>
      <c r="D14" s="150"/>
      <c r="E14" s="150"/>
      <c r="F14" s="150"/>
      <c r="G14" s="150"/>
      <c r="H14" s="151"/>
      <c r="I14" s="151"/>
      <c r="J14" s="151"/>
      <c r="K14" s="151"/>
      <c r="L14" s="151"/>
      <c r="M14" s="151"/>
      <c r="N14" s="151"/>
      <c r="O14" s="151"/>
      <c r="P14" s="151"/>
      <c r="Q14" s="151"/>
      <c r="R14" s="151"/>
      <c r="S14" s="151"/>
      <c r="T14" s="151"/>
      <c r="U14" s="151"/>
      <c r="V14" s="151"/>
      <c r="W14" s="150"/>
      <c r="X14" s="150"/>
      <c r="Y14" s="151"/>
      <c r="Z14" s="151"/>
      <c r="AA14" s="151"/>
      <c r="AB14" s="150"/>
      <c r="AC14" s="149"/>
      <c r="AD14" s="156"/>
      <c r="AE14" s="156"/>
      <c r="AF14" s="149"/>
      <c r="AG14" s="156"/>
      <c r="AH14" s="156"/>
      <c r="AI14" s="156"/>
      <c r="AJ14" s="156"/>
      <c r="AK14" s="156"/>
      <c r="AL14" s="156"/>
      <c r="AM14" s="156"/>
      <c r="AN14" s="156"/>
      <c r="AO14" s="156"/>
      <c r="AP14" s="157"/>
      <c r="AQ14" s="157"/>
      <c r="AR14" s="157"/>
      <c r="AS14" s="157"/>
      <c r="AT14" s="157"/>
      <c r="AU14" s="157"/>
      <c r="AV14" s="157"/>
      <c r="AW14" s="157"/>
      <c r="AX14" s="157"/>
      <c r="AY14" s="157"/>
      <c r="AZ14" s="157"/>
      <c r="BA14" s="157"/>
      <c r="BB14" s="157"/>
      <c r="BC14" s="157"/>
      <c r="BD14" s="160">
        <f>SUM(Tabla147[Avance ponderado de la actividad])</f>
        <v>0.2</v>
      </c>
      <c r="BE14" s="157"/>
      <c r="BF14" s="157"/>
      <c r="BG14" s="157"/>
      <c r="BH14" s="157"/>
      <c r="BI14" s="156"/>
      <c r="BJ14" s="156"/>
      <c r="BK14" s="156"/>
      <c r="BL14" s="156"/>
    </row>
    <row r="16" spans="1:64" hidden="1" x14ac:dyDescent="0.35">
      <c r="BG16" s="100" t="s">
        <v>846</v>
      </c>
      <c r="BH16" s="100"/>
      <c r="BI16" s="100" t="s">
        <v>534</v>
      </c>
      <c r="BJ16" s="100" t="s">
        <v>535</v>
      </c>
    </row>
    <row r="17" spans="1:61" hidden="1" x14ac:dyDescent="0.35">
      <c r="BD17" s="99" t="s">
        <v>530</v>
      </c>
      <c r="BF17" s="100">
        <f>+BF10</f>
        <v>0.2</v>
      </c>
      <c r="BG17" s="108">
        <f>BF19/BF17</f>
        <v>0.99</v>
      </c>
      <c r="BH17" s="109"/>
      <c r="BI17" s="108">
        <v>1</v>
      </c>
    </row>
    <row r="18" spans="1:61" hidden="1" x14ac:dyDescent="0.35">
      <c r="BD18" s="101" t="s">
        <v>526</v>
      </c>
      <c r="BF18" s="104">
        <f>BF17*(AVERAGE(Tabla147[[Reporte Oportuno Meta de Objetivo]:[Reporte Oportuno Actividad]]))</f>
        <v>0.19600000000000001</v>
      </c>
    </row>
    <row r="19" spans="1:61" hidden="1" x14ac:dyDescent="0.35">
      <c r="BD19" t="s">
        <v>531</v>
      </c>
      <c r="BF19" s="103">
        <f>AVERAGE(BF17:BF18)</f>
        <v>0.19800000000000001</v>
      </c>
    </row>
    <row r="20" spans="1:61" hidden="1" x14ac:dyDescent="0.35"/>
    <row r="21" spans="1:61" x14ac:dyDescent="0.35">
      <c r="A21" s="54" t="s">
        <v>4</v>
      </c>
      <c r="B21" s="323" t="s">
        <v>468</v>
      </c>
      <c r="C21" s="324"/>
      <c r="D21" s="66"/>
    </row>
    <row r="22" spans="1:61" ht="76" customHeight="1" x14ac:dyDescent="0.35">
      <c r="A22" s="41" t="s">
        <v>5</v>
      </c>
      <c r="B22" s="310"/>
      <c r="C22" s="311"/>
      <c r="D22" s="7"/>
    </row>
    <row r="23" spans="1:61" x14ac:dyDescent="0.35">
      <c r="A23" s="6"/>
      <c r="B23" s="6"/>
    </row>
    <row r="25" spans="1:61" x14ac:dyDescent="0.35">
      <c r="A25" s="59"/>
      <c r="B25" s="59"/>
    </row>
    <row r="26" spans="1:61" x14ac:dyDescent="0.35">
      <c r="A26" s="59" t="s">
        <v>546</v>
      </c>
      <c r="B26" s="59"/>
    </row>
    <row r="27" spans="1:61" x14ac:dyDescent="0.35">
      <c r="A27" s="1" t="s">
        <v>1</v>
      </c>
    </row>
  </sheetData>
  <mergeCells count="18">
    <mergeCell ref="AP8:AR8"/>
    <mergeCell ref="AS8:AU8"/>
    <mergeCell ref="AV8:AX8"/>
    <mergeCell ref="AY8:BA8"/>
    <mergeCell ref="B1:BL1"/>
    <mergeCell ref="U7:V8"/>
    <mergeCell ref="W7:Z8"/>
    <mergeCell ref="AB7:AE8"/>
    <mergeCell ref="AF7:AI8"/>
    <mergeCell ref="AK7:AO8"/>
    <mergeCell ref="AP7:BA7"/>
    <mergeCell ref="BI7:BL8"/>
    <mergeCell ref="BB7:BH8"/>
    <mergeCell ref="B21:C21"/>
    <mergeCell ref="B22:C22"/>
    <mergeCell ref="A7:J8"/>
    <mergeCell ref="L7:P8"/>
    <mergeCell ref="Q7:T8"/>
  </mergeCells>
  <dataValidations count="1">
    <dataValidation type="textLength" showInputMessage="1" showErrorMessage="1" promptTitle="CARACTERES PERMITIDOS EN EL ASE" prompt="La extensión del texto no debe superar 90 caracteres." sqref="AB10:AB13" xr:uid="{F7823169-AD28-4231-A32B-9D21B476D27B}">
      <formula1>0</formula1>
      <formula2>90</formula2>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3E03-4883-413B-8082-D8D971F8AEC6}">
  <dimension ref="A1:BL24"/>
  <sheetViews>
    <sheetView showGridLines="0" zoomScale="80" zoomScaleNormal="80" workbookViewId="0">
      <selection activeCell="BC2" sqref="BC1:BH104857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s="101" customFormat="1" ht="104.25" customHeight="1" x14ac:dyDescent="0.35">
      <c r="A1" s="185"/>
      <c r="B1" s="314" t="s">
        <v>463</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6" t="s">
        <v>536</v>
      </c>
      <c r="B4" s="107" t="s">
        <v>65</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6" t="s">
        <v>537</v>
      </c>
      <c r="B5" s="107" t="s">
        <v>65</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12" t="s">
        <v>48</v>
      </c>
      <c r="B7" s="312"/>
      <c r="C7" s="312"/>
      <c r="D7" s="312"/>
      <c r="E7" s="312"/>
      <c r="F7" s="312"/>
      <c r="G7" s="312"/>
      <c r="H7" s="312"/>
      <c r="I7" s="312"/>
      <c r="J7" s="312"/>
      <c r="K7" s="110"/>
      <c r="L7" s="315" t="s">
        <v>52</v>
      </c>
      <c r="M7" s="316"/>
      <c r="N7" s="316"/>
      <c r="O7" s="316"/>
      <c r="P7" s="317"/>
      <c r="Q7" s="312" t="s">
        <v>27</v>
      </c>
      <c r="R7" s="312"/>
      <c r="S7" s="312"/>
      <c r="T7" s="312"/>
      <c r="U7" s="312" t="s">
        <v>41</v>
      </c>
      <c r="V7" s="312"/>
      <c r="W7" s="315" t="s">
        <v>10</v>
      </c>
      <c r="X7" s="316"/>
      <c r="Y7" s="316"/>
      <c r="Z7" s="317"/>
      <c r="AA7" s="111"/>
      <c r="AB7" s="316"/>
      <c r="AC7" s="316"/>
      <c r="AD7" s="316"/>
      <c r="AE7" s="317"/>
      <c r="AF7" s="315" t="s">
        <v>49</v>
      </c>
      <c r="AG7" s="316"/>
      <c r="AH7" s="316"/>
      <c r="AI7" s="317"/>
      <c r="AJ7" s="111"/>
      <c r="AK7" s="315" t="s">
        <v>21</v>
      </c>
      <c r="AL7" s="316"/>
      <c r="AM7" s="316"/>
      <c r="AN7" s="316"/>
      <c r="AO7" s="317"/>
      <c r="AP7" s="328" t="s">
        <v>27</v>
      </c>
      <c r="AQ7" s="329"/>
      <c r="AR7" s="329"/>
      <c r="AS7" s="329"/>
      <c r="AT7" s="329"/>
      <c r="AU7" s="329"/>
      <c r="AV7" s="329"/>
      <c r="AW7" s="329"/>
      <c r="AX7" s="329"/>
      <c r="AY7" s="329"/>
      <c r="AZ7" s="329"/>
      <c r="BA7" s="329"/>
      <c r="BB7" s="330" t="s">
        <v>41</v>
      </c>
      <c r="BC7" s="331"/>
      <c r="BD7" s="331"/>
      <c r="BE7" s="331"/>
      <c r="BF7" s="331"/>
      <c r="BG7" s="331"/>
      <c r="BH7" s="332"/>
      <c r="BI7" s="321"/>
      <c r="BJ7" s="321"/>
      <c r="BK7" s="321"/>
      <c r="BL7" s="321"/>
    </row>
    <row r="8" spans="1:64" ht="30.65" customHeight="1" x14ac:dyDescent="0.35">
      <c r="A8" s="312"/>
      <c r="B8" s="312"/>
      <c r="C8" s="312"/>
      <c r="D8" s="312"/>
      <c r="E8" s="312"/>
      <c r="F8" s="312"/>
      <c r="G8" s="312"/>
      <c r="H8" s="312"/>
      <c r="I8" s="312"/>
      <c r="J8" s="312"/>
      <c r="K8" s="112"/>
      <c r="L8" s="318"/>
      <c r="M8" s="319"/>
      <c r="N8" s="319"/>
      <c r="O8" s="319"/>
      <c r="P8" s="320"/>
      <c r="Q8" s="312"/>
      <c r="R8" s="312"/>
      <c r="S8" s="312"/>
      <c r="T8" s="312"/>
      <c r="U8" s="312"/>
      <c r="V8" s="312"/>
      <c r="W8" s="318"/>
      <c r="X8" s="319"/>
      <c r="Y8" s="319"/>
      <c r="Z8" s="320"/>
      <c r="AA8" s="113"/>
      <c r="AB8" s="319"/>
      <c r="AC8" s="319"/>
      <c r="AD8" s="319"/>
      <c r="AE8" s="320"/>
      <c r="AF8" s="318"/>
      <c r="AG8" s="319"/>
      <c r="AH8" s="319"/>
      <c r="AI8" s="320"/>
      <c r="AJ8" s="113"/>
      <c r="AK8" s="318"/>
      <c r="AL8" s="319"/>
      <c r="AM8" s="319"/>
      <c r="AN8" s="319"/>
      <c r="AO8" s="320"/>
      <c r="AP8" s="325" t="s">
        <v>22</v>
      </c>
      <c r="AQ8" s="326"/>
      <c r="AR8" s="326"/>
      <c r="AS8" s="325" t="s">
        <v>23</v>
      </c>
      <c r="AT8" s="326"/>
      <c r="AU8" s="327"/>
      <c r="AV8" s="325" t="s">
        <v>24</v>
      </c>
      <c r="AW8" s="326"/>
      <c r="AX8" s="327"/>
      <c r="AY8" s="325" t="s">
        <v>25</v>
      </c>
      <c r="AZ8" s="326"/>
      <c r="BA8" s="326"/>
      <c r="BB8" s="318"/>
      <c r="BC8" s="319"/>
      <c r="BD8" s="319"/>
      <c r="BE8" s="319"/>
      <c r="BF8" s="319"/>
      <c r="BG8" s="319"/>
      <c r="BH8" s="320"/>
      <c r="BI8" s="322"/>
      <c r="BJ8" s="322"/>
      <c r="BK8" s="322"/>
      <c r="BL8" s="322"/>
    </row>
    <row r="9" spans="1:64" ht="105.65" customHeight="1" x14ac:dyDescent="0.35">
      <c r="A9" s="114" t="s">
        <v>7</v>
      </c>
      <c r="B9" s="114" t="s">
        <v>8</v>
      </c>
      <c r="C9" s="114" t="s">
        <v>9</v>
      </c>
      <c r="D9" s="115" t="s">
        <v>532</v>
      </c>
      <c r="E9" s="115" t="s">
        <v>50</v>
      </c>
      <c r="F9" s="116" t="s">
        <v>541</v>
      </c>
      <c r="G9" s="116" t="s">
        <v>542</v>
      </c>
      <c r="H9" s="116" t="s">
        <v>14</v>
      </c>
      <c r="I9" s="116" t="s">
        <v>64</v>
      </c>
      <c r="J9" s="116" t="s">
        <v>16</v>
      </c>
      <c r="K9" s="116" t="s">
        <v>543</v>
      </c>
      <c r="L9" s="117" t="s">
        <v>22</v>
      </c>
      <c r="M9" s="117" t="s">
        <v>23</v>
      </c>
      <c r="N9" s="117" t="s">
        <v>24</v>
      </c>
      <c r="O9" s="117" t="s">
        <v>25</v>
      </c>
      <c r="P9" s="118" t="s">
        <v>26</v>
      </c>
      <c r="Q9" s="117" t="s">
        <v>53</v>
      </c>
      <c r="R9" s="117" t="s">
        <v>54</v>
      </c>
      <c r="S9" s="117" t="s">
        <v>43</v>
      </c>
      <c r="T9" s="117" t="s">
        <v>55</v>
      </c>
      <c r="U9" s="117" t="s">
        <v>46</v>
      </c>
      <c r="V9" s="117" t="s">
        <v>51</v>
      </c>
      <c r="W9" s="114" t="s">
        <v>0</v>
      </c>
      <c r="X9" s="114" t="s">
        <v>2</v>
      </c>
      <c r="Y9" s="117" t="s">
        <v>11</v>
      </c>
      <c r="Z9" s="117" t="s">
        <v>12</v>
      </c>
      <c r="AA9" s="117" t="s">
        <v>544</v>
      </c>
      <c r="AB9" s="114" t="s">
        <v>17</v>
      </c>
      <c r="AC9" s="114" t="s">
        <v>6</v>
      </c>
      <c r="AD9" s="116" t="s">
        <v>18</v>
      </c>
      <c r="AE9" s="116" t="s">
        <v>19</v>
      </c>
      <c r="AF9" s="115" t="s">
        <v>13</v>
      </c>
      <c r="AG9" s="116" t="s">
        <v>57</v>
      </c>
      <c r="AH9" s="116" t="s">
        <v>15</v>
      </c>
      <c r="AI9" s="116" t="s">
        <v>58</v>
      </c>
      <c r="AJ9" s="116" t="s">
        <v>545</v>
      </c>
      <c r="AK9" s="119" t="s">
        <v>42</v>
      </c>
      <c r="AL9" s="119" t="s">
        <v>59</v>
      </c>
      <c r="AM9" s="119" t="s">
        <v>60</v>
      </c>
      <c r="AN9" s="119" t="s">
        <v>44</v>
      </c>
      <c r="AO9" s="120" t="s">
        <v>61</v>
      </c>
      <c r="AP9" s="121" t="s">
        <v>28</v>
      </c>
      <c r="AQ9" s="121" t="s">
        <v>29</v>
      </c>
      <c r="AR9" s="121" t="s">
        <v>30</v>
      </c>
      <c r="AS9" s="121" t="s">
        <v>31</v>
      </c>
      <c r="AT9" s="121" t="s">
        <v>32</v>
      </c>
      <c r="AU9" s="121" t="s">
        <v>33</v>
      </c>
      <c r="AV9" s="121" t="s">
        <v>34</v>
      </c>
      <c r="AW9" s="121" t="s">
        <v>35</v>
      </c>
      <c r="AX9" s="121" t="s">
        <v>36</v>
      </c>
      <c r="AY9" s="121" t="s">
        <v>37</v>
      </c>
      <c r="AZ9" s="121" t="s">
        <v>38</v>
      </c>
      <c r="BA9" s="121" t="s">
        <v>39</v>
      </c>
      <c r="BB9" s="117" t="s">
        <v>40</v>
      </c>
      <c r="BC9" s="117" t="s">
        <v>45</v>
      </c>
      <c r="BD9" s="117" t="s">
        <v>528</v>
      </c>
      <c r="BE9" s="117" t="s">
        <v>527</v>
      </c>
      <c r="BF9" s="117" t="s">
        <v>529</v>
      </c>
      <c r="BG9" s="117" t="s">
        <v>524</v>
      </c>
      <c r="BH9" s="117" t="s">
        <v>525</v>
      </c>
      <c r="BI9" s="117" t="s">
        <v>504</v>
      </c>
      <c r="BJ9" s="117" t="s">
        <v>512</v>
      </c>
      <c r="BK9" s="117" t="s">
        <v>3</v>
      </c>
      <c r="BL9" s="117" t="s">
        <v>56</v>
      </c>
    </row>
    <row r="10" spans="1:64" ht="43.5" x14ac:dyDescent="0.35">
      <c r="A10" s="46" t="s">
        <v>321</v>
      </c>
      <c r="B10" s="41" t="s">
        <v>322</v>
      </c>
      <c r="C10" s="41" t="s">
        <v>323</v>
      </c>
      <c r="D10" s="17">
        <v>1</v>
      </c>
      <c r="E10" s="41" t="s">
        <v>349</v>
      </c>
      <c r="F10" s="17">
        <v>1</v>
      </c>
      <c r="G10" s="37" t="s">
        <v>65</v>
      </c>
      <c r="H10" s="8" t="s">
        <v>86</v>
      </c>
      <c r="I10" s="8">
        <v>1</v>
      </c>
      <c r="J10" s="8" t="s">
        <v>87</v>
      </c>
      <c r="K10" s="37" t="s">
        <v>65</v>
      </c>
      <c r="L10" s="8"/>
      <c r="M10" s="8"/>
      <c r="N10" s="8"/>
      <c r="O10" s="8">
        <v>1</v>
      </c>
      <c r="P10" s="8">
        <f>SUM(Tabla14359[[#This Row],[TRIM I]:[TRIM IV]])</f>
        <v>1</v>
      </c>
      <c r="Q10" s="8"/>
      <c r="R10" s="19"/>
      <c r="S10" s="19"/>
      <c r="T10" s="19"/>
      <c r="U10" s="8">
        <f>SUM(Tabla14359[[#This Row],[TRIM I    ]:[TRIM IV    ]])</f>
        <v>0</v>
      </c>
      <c r="V10" s="17">
        <f>IFERROR(IF(P10=0,"",IF((U10/P10)&gt;100%,100%,(U10/P10))),"")</f>
        <v>0</v>
      </c>
      <c r="W10" s="41" t="s">
        <v>160</v>
      </c>
      <c r="X10" s="41" t="s">
        <v>160</v>
      </c>
      <c r="Y10" s="8" t="s">
        <v>65</v>
      </c>
      <c r="Z10" s="8" t="s">
        <v>65</v>
      </c>
      <c r="AA10" s="17">
        <v>1</v>
      </c>
      <c r="AB10" s="41" t="s">
        <v>350</v>
      </c>
      <c r="AC10" s="41" t="s">
        <v>351</v>
      </c>
      <c r="AD10" s="67">
        <v>44928</v>
      </c>
      <c r="AE10" s="50">
        <v>45289</v>
      </c>
      <c r="AF10" s="41" t="s">
        <v>416</v>
      </c>
      <c r="AG10" s="8" t="s">
        <v>86</v>
      </c>
      <c r="AH10" s="8">
        <v>1</v>
      </c>
      <c r="AI10" s="8" t="s">
        <v>388</v>
      </c>
      <c r="AJ10" s="37" t="s">
        <v>65</v>
      </c>
      <c r="AK10" s="8"/>
      <c r="AL10" s="8"/>
      <c r="AM10" s="8"/>
      <c r="AN10" s="8">
        <v>1</v>
      </c>
      <c r="AO10" s="8">
        <f>SUM(Tabla14359[[#This Row],[TRIM I   ]:[TRIM IV     ]])</f>
        <v>1</v>
      </c>
      <c r="AP10" s="8"/>
      <c r="AQ10" s="8"/>
      <c r="AR10" s="8"/>
      <c r="AS10" s="19"/>
      <c r="AT10" s="19"/>
      <c r="AU10" s="19"/>
      <c r="AV10" s="19"/>
      <c r="AW10" s="19"/>
      <c r="AX10" s="19"/>
      <c r="AY10" s="19"/>
      <c r="AZ10" s="19"/>
      <c r="BA10" s="19"/>
      <c r="BB10" s="8">
        <f>SUM(Tabla14359[[#This Row],[Enero ]:[Dic]])</f>
        <v>0</v>
      </c>
      <c r="BC10" s="17">
        <f>IFERROR(IF(AO10=0,"",IF((BB10/AO10)&gt;100%,100%,(BB10/AO10))),"")</f>
        <v>0</v>
      </c>
      <c r="BD10" s="17">
        <f>IFERROR(BC10*AA10,"")</f>
        <v>0</v>
      </c>
      <c r="BE10" s="17">
        <f>Tabla14359[[#Totals],[Avance ponderado de la actividad]]*Tabla14359[[#This Row],[Peso porcentual de la Meta de Objetivo]]</f>
        <v>0</v>
      </c>
      <c r="BF10" s="17">
        <f>Tabla14359[[#This Row],[Avance ponderado frente a la meta de objetivo]]*Tabla14359[[#This Row],[Peso Porcentual del Objetivo Estratégico]]</f>
        <v>0</v>
      </c>
      <c r="BG10" s="17"/>
      <c r="BH10" s="17"/>
      <c r="BI10" s="28" t="s">
        <v>308</v>
      </c>
      <c r="BJ10" s="8" t="s">
        <v>329</v>
      </c>
      <c r="BK10" s="8" t="s">
        <v>330</v>
      </c>
      <c r="BL10" s="8" t="s">
        <v>331</v>
      </c>
    </row>
    <row r="11" spans="1:64" x14ac:dyDescent="0.35">
      <c r="A11" s="149"/>
      <c r="B11" s="149"/>
      <c r="C11" s="150"/>
      <c r="D11" s="150"/>
      <c r="E11" s="150"/>
      <c r="F11" s="150"/>
      <c r="G11" s="150"/>
      <c r="H11" s="151"/>
      <c r="I11" s="151"/>
      <c r="J11" s="151"/>
      <c r="K11" s="151"/>
      <c r="L11" s="151"/>
      <c r="M11" s="151"/>
      <c r="N11" s="151"/>
      <c r="O11" s="151"/>
      <c r="P11" s="151"/>
      <c r="Q11" s="152"/>
      <c r="R11" s="152"/>
      <c r="S11" s="152"/>
      <c r="T11" s="152"/>
      <c r="U11" s="152"/>
      <c r="V11" s="152"/>
      <c r="W11" s="150"/>
      <c r="X11" s="150"/>
      <c r="Y11" s="151"/>
      <c r="Z11" s="151"/>
      <c r="AA11" s="151"/>
      <c r="AB11" s="150"/>
      <c r="AC11" s="149"/>
      <c r="AD11" s="161"/>
      <c r="AE11" s="156"/>
      <c r="AF11" s="149"/>
      <c r="AG11" s="156"/>
      <c r="AH11" s="156"/>
      <c r="AI11" s="151"/>
      <c r="AJ11" s="151"/>
      <c r="AK11" s="156"/>
      <c r="AL11" s="156"/>
      <c r="AM11" s="156"/>
      <c r="AN11" s="156"/>
      <c r="AO11" s="156"/>
      <c r="AP11" s="157"/>
      <c r="AQ11" s="157"/>
      <c r="AR11" s="157"/>
      <c r="AS11" s="157"/>
      <c r="AT11" s="157"/>
      <c r="AU11" s="157"/>
      <c r="AV11" s="157"/>
      <c r="AW11" s="157"/>
      <c r="AX11" s="157"/>
      <c r="AY11" s="157"/>
      <c r="AZ11" s="157"/>
      <c r="BA11" s="157"/>
      <c r="BB11" s="157"/>
      <c r="BC11" s="157"/>
      <c r="BD11" s="160" cm="1">
        <f t="array" ref="BD11">+Tabla14359[Avance ponderado de la actividad]</f>
        <v>0</v>
      </c>
      <c r="BE11" s="157"/>
      <c r="BF11" s="157"/>
      <c r="BG11" s="157"/>
      <c r="BH11" s="157"/>
      <c r="BI11" s="156"/>
      <c r="BJ11" s="156"/>
      <c r="BK11" s="156"/>
      <c r="BL11" s="156"/>
    </row>
    <row r="13" spans="1:64" hidden="1" x14ac:dyDescent="0.35">
      <c r="BG13" s="100" t="s">
        <v>846</v>
      </c>
      <c r="BH13" s="100"/>
      <c r="BI13" s="100" t="s">
        <v>534</v>
      </c>
      <c r="BJ13" s="100" t="s">
        <v>535</v>
      </c>
    </row>
    <row r="14" spans="1:64" hidden="1" x14ac:dyDescent="0.35">
      <c r="BD14" s="99" t="s">
        <v>530</v>
      </c>
      <c r="BF14" s="100" cm="1">
        <f t="array" ref="BF14">+Tabla14359[[Avance ponderado frente al objetivo    ]]</f>
        <v>0</v>
      </c>
      <c r="BG14" s="108" t="e">
        <f>BF16/BF14</f>
        <v>#DIV/0!</v>
      </c>
      <c r="BH14" s="109"/>
      <c r="BI14" s="304" t="s">
        <v>65</v>
      </c>
    </row>
    <row r="15" spans="1:64" hidden="1" x14ac:dyDescent="0.35">
      <c r="BD15" s="101" t="s">
        <v>526</v>
      </c>
      <c r="BF15" s="104" t="e">
        <f>BF14*(AVERAGE(Tabla14359[[Reporte Oportuno Meta de Objetivo]:[Reporte Oportuno Actividad]]))</f>
        <v>#DIV/0!</v>
      </c>
    </row>
    <row r="16" spans="1:64" hidden="1" x14ac:dyDescent="0.35">
      <c r="BD16" t="s">
        <v>531</v>
      </c>
      <c r="BF16" s="103" t="e">
        <f>AVERAGE(BF14:BF15)</f>
        <v>#DIV/0!</v>
      </c>
    </row>
    <row r="17" spans="1:4" hidden="1" x14ac:dyDescent="0.35"/>
    <row r="18" spans="1:4" x14ac:dyDescent="0.35">
      <c r="A18" s="54" t="s">
        <v>4</v>
      </c>
      <c r="B18" s="323" t="s">
        <v>468</v>
      </c>
      <c r="C18" s="324"/>
      <c r="D18" s="66"/>
    </row>
    <row r="19" spans="1:4" ht="76" customHeight="1" x14ac:dyDescent="0.35">
      <c r="A19" s="41" t="s">
        <v>5</v>
      </c>
      <c r="B19" s="310"/>
      <c r="C19" s="311"/>
      <c r="D19" s="7"/>
    </row>
    <row r="20" spans="1:4" x14ac:dyDescent="0.35">
      <c r="A20" s="6"/>
      <c r="B20" s="6"/>
    </row>
    <row r="22" spans="1:4" x14ac:dyDescent="0.35">
      <c r="A22" s="59"/>
      <c r="B22" s="59"/>
    </row>
    <row r="23" spans="1:4" x14ac:dyDescent="0.35">
      <c r="A23" s="59" t="s">
        <v>546</v>
      </c>
      <c r="B23" s="59"/>
    </row>
    <row r="24" spans="1:4" x14ac:dyDescent="0.35">
      <c r="A24" s="1" t="s">
        <v>1</v>
      </c>
    </row>
  </sheetData>
  <mergeCells count="18">
    <mergeCell ref="AP8:AR8"/>
    <mergeCell ref="AS8:AU8"/>
    <mergeCell ref="AV8:AX8"/>
    <mergeCell ref="AY8:BA8"/>
    <mergeCell ref="B1:BL1"/>
    <mergeCell ref="U7:V8"/>
    <mergeCell ref="W7:Z8"/>
    <mergeCell ref="AB7:AE8"/>
    <mergeCell ref="AF7:AI8"/>
    <mergeCell ref="AK7:AO8"/>
    <mergeCell ref="AP7:BA7"/>
    <mergeCell ref="BI7:BL8"/>
    <mergeCell ref="BB7:BH8"/>
    <mergeCell ref="B18:C18"/>
    <mergeCell ref="B19:C19"/>
    <mergeCell ref="A7:J8"/>
    <mergeCell ref="L7:P8"/>
    <mergeCell ref="Q7:T8"/>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1120-4EA1-405A-BFA4-568AF59F43B7}">
  <dimension ref="A1:BL25"/>
  <sheetViews>
    <sheetView showGridLines="0" zoomScale="70" zoomScaleNormal="70" workbookViewId="0">
      <selection activeCell="AL9" sqref="AL9"/>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3" style="4" hidden="1" customWidth="1"/>
    <col min="31" max="31" width="23.1796875" style="4" hidden="1" customWidth="1"/>
    <col min="32" max="32" width="27.54296875" style="5" hidden="1" customWidth="1"/>
    <col min="33" max="34" width="27.54296875" style="4" customWidth="1"/>
    <col min="35" max="36" width="27.54296875" style="4" hidden="1"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s="101" customFormat="1" ht="104.25" customHeight="1" x14ac:dyDescent="0.35">
      <c r="A1" s="185"/>
      <c r="B1" s="314" t="s">
        <v>464</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row>
    <row r="2" spans="1:64" ht="26.15" customHeight="1" x14ac:dyDescent="0.35">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row>
    <row r="3" spans="1:64" ht="26.15" hidden="1" customHeight="1" x14ac:dyDescent="0.3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6" t="s">
        <v>536</v>
      </c>
      <c r="B4" s="107">
        <f>+BG15</f>
        <v>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6" t="s">
        <v>537</v>
      </c>
      <c r="B5" s="107">
        <f>+BF17</f>
        <v>0.6</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12" t="s">
        <v>48</v>
      </c>
      <c r="B7" s="312"/>
      <c r="C7" s="312"/>
      <c r="D7" s="312"/>
      <c r="E7" s="312"/>
      <c r="F7" s="312"/>
      <c r="G7" s="312"/>
      <c r="H7" s="312"/>
      <c r="I7" s="312"/>
      <c r="J7" s="312"/>
      <c r="K7" s="110"/>
      <c r="L7" s="315" t="s">
        <v>52</v>
      </c>
      <c r="M7" s="316"/>
      <c r="N7" s="316"/>
      <c r="O7" s="316"/>
      <c r="P7" s="317"/>
      <c r="Q7" s="312" t="s">
        <v>27</v>
      </c>
      <c r="R7" s="312"/>
      <c r="S7" s="312"/>
      <c r="T7" s="312"/>
      <c r="U7" s="312" t="s">
        <v>41</v>
      </c>
      <c r="V7" s="312"/>
      <c r="W7" s="315" t="s">
        <v>10</v>
      </c>
      <c r="X7" s="316"/>
      <c r="Y7" s="316"/>
      <c r="Z7" s="317"/>
      <c r="AA7" s="111"/>
      <c r="AB7" s="316"/>
      <c r="AC7" s="316"/>
      <c r="AD7" s="316"/>
      <c r="AE7" s="317"/>
      <c r="AF7" s="315" t="s">
        <v>49</v>
      </c>
      <c r="AG7" s="316"/>
      <c r="AH7" s="316"/>
      <c r="AI7" s="317"/>
      <c r="AJ7" s="111"/>
      <c r="AK7" s="315" t="s">
        <v>21</v>
      </c>
      <c r="AL7" s="316"/>
      <c r="AM7" s="316"/>
      <c r="AN7" s="316"/>
      <c r="AO7" s="317"/>
      <c r="AP7" s="328" t="s">
        <v>27</v>
      </c>
      <c r="AQ7" s="329"/>
      <c r="AR7" s="329"/>
      <c r="AS7" s="329"/>
      <c r="AT7" s="329"/>
      <c r="AU7" s="329"/>
      <c r="AV7" s="329"/>
      <c r="AW7" s="329"/>
      <c r="AX7" s="329"/>
      <c r="AY7" s="329"/>
      <c r="AZ7" s="329"/>
      <c r="BA7" s="329"/>
      <c r="BB7" s="330" t="s">
        <v>41</v>
      </c>
      <c r="BC7" s="331"/>
      <c r="BD7" s="331"/>
      <c r="BE7" s="331"/>
      <c r="BF7" s="331"/>
      <c r="BG7" s="331"/>
      <c r="BH7" s="332"/>
      <c r="BI7" s="321"/>
      <c r="BJ7" s="321"/>
      <c r="BK7" s="321"/>
      <c r="BL7" s="321"/>
    </row>
    <row r="8" spans="1:64" ht="30.65" customHeight="1" x14ac:dyDescent="0.35">
      <c r="A8" s="312"/>
      <c r="B8" s="312"/>
      <c r="C8" s="312"/>
      <c r="D8" s="312"/>
      <c r="E8" s="312"/>
      <c r="F8" s="312"/>
      <c r="G8" s="312"/>
      <c r="H8" s="312"/>
      <c r="I8" s="312"/>
      <c r="J8" s="312"/>
      <c r="K8" s="112"/>
      <c r="L8" s="318"/>
      <c r="M8" s="319"/>
      <c r="N8" s="319"/>
      <c r="O8" s="319"/>
      <c r="P8" s="320"/>
      <c r="Q8" s="312"/>
      <c r="R8" s="312"/>
      <c r="S8" s="312"/>
      <c r="T8" s="312"/>
      <c r="U8" s="312"/>
      <c r="V8" s="312"/>
      <c r="W8" s="318"/>
      <c r="X8" s="319"/>
      <c r="Y8" s="319"/>
      <c r="Z8" s="320"/>
      <c r="AA8" s="113"/>
      <c r="AB8" s="319"/>
      <c r="AC8" s="319"/>
      <c r="AD8" s="319"/>
      <c r="AE8" s="320"/>
      <c r="AF8" s="318"/>
      <c r="AG8" s="319"/>
      <c r="AH8" s="319"/>
      <c r="AI8" s="320"/>
      <c r="AJ8" s="113"/>
      <c r="AK8" s="318"/>
      <c r="AL8" s="319"/>
      <c r="AM8" s="319"/>
      <c r="AN8" s="319"/>
      <c r="AO8" s="320"/>
      <c r="AP8" s="325" t="s">
        <v>22</v>
      </c>
      <c r="AQ8" s="326"/>
      <c r="AR8" s="326"/>
      <c r="AS8" s="325" t="s">
        <v>23</v>
      </c>
      <c r="AT8" s="326"/>
      <c r="AU8" s="327"/>
      <c r="AV8" s="325" t="s">
        <v>24</v>
      </c>
      <c r="AW8" s="326"/>
      <c r="AX8" s="327"/>
      <c r="AY8" s="325" t="s">
        <v>25</v>
      </c>
      <c r="AZ8" s="326"/>
      <c r="BA8" s="326"/>
      <c r="BB8" s="318"/>
      <c r="BC8" s="319"/>
      <c r="BD8" s="319"/>
      <c r="BE8" s="319"/>
      <c r="BF8" s="319"/>
      <c r="BG8" s="319"/>
      <c r="BH8" s="320"/>
      <c r="BI8" s="322"/>
      <c r="BJ8" s="322"/>
      <c r="BK8" s="322"/>
      <c r="BL8" s="322"/>
    </row>
    <row r="9" spans="1:64" ht="105.65" customHeight="1" x14ac:dyDescent="0.35">
      <c r="A9" s="114" t="s">
        <v>7</v>
      </c>
      <c r="B9" s="114" t="s">
        <v>8</v>
      </c>
      <c r="C9" s="114" t="s">
        <v>9</v>
      </c>
      <c r="D9" s="115" t="s">
        <v>532</v>
      </c>
      <c r="E9" s="115" t="s">
        <v>50</v>
      </c>
      <c r="F9" s="116" t="s">
        <v>541</v>
      </c>
      <c r="G9" s="116" t="s">
        <v>542</v>
      </c>
      <c r="H9" s="116" t="s">
        <v>14</v>
      </c>
      <c r="I9" s="116" t="s">
        <v>64</v>
      </c>
      <c r="J9" s="116" t="s">
        <v>16</v>
      </c>
      <c r="K9" s="116" t="s">
        <v>543</v>
      </c>
      <c r="L9" s="117" t="s">
        <v>22</v>
      </c>
      <c r="M9" s="117" t="s">
        <v>23</v>
      </c>
      <c r="N9" s="117" t="s">
        <v>24</v>
      </c>
      <c r="O9" s="117" t="s">
        <v>25</v>
      </c>
      <c r="P9" s="118" t="s">
        <v>26</v>
      </c>
      <c r="Q9" s="117" t="s">
        <v>53</v>
      </c>
      <c r="R9" s="117" t="s">
        <v>54</v>
      </c>
      <c r="S9" s="117" t="s">
        <v>43</v>
      </c>
      <c r="T9" s="117" t="s">
        <v>55</v>
      </c>
      <c r="U9" s="117" t="s">
        <v>46</v>
      </c>
      <c r="V9" s="117" t="s">
        <v>51</v>
      </c>
      <c r="W9" s="114" t="s">
        <v>0</v>
      </c>
      <c r="X9" s="114" t="s">
        <v>2</v>
      </c>
      <c r="Y9" s="117" t="s">
        <v>11</v>
      </c>
      <c r="Z9" s="117" t="s">
        <v>12</v>
      </c>
      <c r="AA9" s="117" t="s">
        <v>544</v>
      </c>
      <c r="AB9" s="114" t="s">
        <v>17</v>
      </c>
      <c r="AC9" s="114" t="s">
        <v>6</v>
      </c>
      <c r="AD9" s="116" t="s">
        <v>18</v>
      </c>
      <c r="AE9" s="116" t="s">
        <v>19</v>
      </c>
      <c r="AF9" s="115" t="s">
        <v>13</v>
      </c>
      <c r="AG9" s="116" t="s">
        <v>57</v>
      </c>
      <c r="AH9" s="116" t="s">
        <v>15</v>
      </c>
      <c r="AI9" s="116" t="s">
        <v>58</v>
      </c>
      <c r="AJ9" s="116" t="s">
        <v>545</v>
      </c>
      <c r="AK9" s="119" t="s">
        <v>42</v>
      </c>
      <c r="AL9" s="119" t="s">
        <v>59</v>
      </c>
      <c r="AM9" s="119" t="s">
        <v>60</v>
      </c>
      <c r="AN9" s="119" t="s">
        <v>44</v>
      </c>
      <c r="AO9" s="120" t="s">
        <v>61</v>
      </c>
      <c r="AP9" s="121" t="s">
        <v>28</v>
      </c>
      <c r="AQ9" s="121" t="s">
        <v>29</v>
      </c>
      <c r="AR9" s="121" t="s">
        <v>30</v>
      </c>
      <c r="AS9" s="121" t="s">
        <v>31</v>
      </c>
      <c r="AT9" s="121" t="s">
        <v>32</v>
      </c>
      <c r="AU9" s="121" t="s">
        <v>33</v>
      </c>
      <c r="AV9" s="121" t="s">
        <v>34</v>
      </c>
      <c r="AW9" s="121" t="s">
        <v>35</v>
      </c>
      <c r="AX9" s="121" t="s">
        <v>36</v>
      </c>
      <c r="AY9" s="121" t="s">
        <v>37</v>
      </c>
      <c r="AZ9" s="121" t="s">
        <v>38</v>
      </c>
      <c r="BA9" s="121" t="s">
        <v>39</v>
      </c>
      <c r="BB9" s="117" t="s">
        <v>40</v>
      </c>
      <c r="BC9" s="117" t="s">
        <v>45</v>
      </c>
      <c r="BD9" s="117" t="s">
        <v>528</v>
      </c>
      <c r="BE9" s="117" t="s">
        <v>527</v>
      </c>
      <c r="BF9" s="117" t="s">
        <v>529</v>
      </c>
      <c r="BG9" s="117" t="s">
        <v>524</v>
      </c>
      <c r="BH9" s="117" t="s">
        <v>525</v>
      </c>
      <c r="BI9" s="117" t="s">
        <v>504</v>
      </c>
      <c r="BJ9" s="117" t="s">
        <v>512</v>
      </c>
      <c r="BK9" s="117" t="s">
        <v>3</v>
      </c>
      <c r="BL9" s="117" t="s">
        <v>56</v>
      </c>
    </row>
    <row r="10" spans="1:64" ht="43.5" x14ac:dyDescent="0.35">
      <c r="A10" s="46" t="s">
        <v>321</v>
      </c>
      <c r="B10" s="41" t="s">
        <v>322</v>
      </c>
      <c r="C10" s="41" t="s">
        <v>323</v>
      </c>
      <c r="D10" s="25">
        <v>1</v>
      </c>
      <c r="E10" s="41" t="s">
        <v>341</v>
      </c>
      <c r="F10" s="25">
        <v>1</v>
      </c>
      <c r="G10" s="37" t="s">
        <v>65</v>
      </c>
      <c r="H10" s="8" t="s">
        <v>86</v>
      </c>
      <c r="I10" s="8">
        <v>1</v>
      </c>
      <c r="J10" s="8" t="s">
        <v>388</v>
      </c>
      <c r="K10" s="37" t="s">
        <v>65</v>
      </c>
      <c r="L10" s="8"/>
      <c r="M10" s="8"/>
      <c r="N10" s="8"/>
      <c r="O10" s="8">
        <v>1</v>
      </c>
      <c r="P10" s="8">
        <f>SUM(Tabla1438[[#This Row],[TRIM I]:[TRIM IV]])</f>
        <v>1</v>
      </c>
      <c r="Q10" s="8"/>
      <c r="R10" s="19"/>
      <c r="S10" s="19"/>
      <c r="T10" s="19"/>
      <c r="U10" s="8">
        <f>SUM(Tabla1438[[#This Row],[TRIM I    ]:[TRIM IV    ]])</f>
        <v>0</v>
      </c>
      <c r="V10" s="25">
        <f>IFERROR(IF(P10=0,"",IF((U10/P10)&gt;100%,100%,(U10/P10))),"")</f>
        <v>0</v>
      </c>
      <c r="W10" s="41" t="s">
        <v>160</v>
      </c>
      <c r="X10" s="41" t="s">
        <v>160</v>
      </c>
      <c r="Y10" s="8" t="s">
        <v>65</v>
      </c>
      <c r="Z10" s="8" t="s">
        <v>65</v>
      </c>
      <c r="AA10" s="37">
        <v>0.6</v>
      </c>
      <c r="AB10" s="41" t="s">
        <v>342</v>
      </c>
      <c r="AC10" s="41" t="s">
        <v>343</v>
      </c>
      <c r="AD10" s="67">
        <v>44958</v>
      </c>
      <c r="AE10" s="50">
        <v>45107</v>
      </c>
      <c r="AF10" s="41" t="s">
        <v>344</v>
      </c>
      <c r="AG10" s="8" t="s">
        <v>86</v>
      </c>
      <c r="AH10" s="8">
        <v>1</v>
      </c>
      <c r="AI10" s="8" t="s">
        <v>388</v>
      </c>
      <c r="AJ10" s="37" t="s">
        <v>65</v>
      </c>
      <c r="AK10" s="8"/>
      <c r="AL10" s="8">
        <v>1</v>
      </c>
      <c r="AM10" s="8"/>
      <c r="AN10" s="8"/>
      <c r="AO10" s="8">
        <v>1</v>
      </c>
      <c r="AP10" s="8"/>
      <c r="AQ10" s="8"/>
      <c r="AR10" s="8"/>
      <c r="AS10" s="19"/>
      <c r="AT10" s="19"/>
      <c r="AU10" s="19">
        <v>1</v>
      </c>
      <c r="AV10" s="19"/>
      <c r="AW10" s="19"/>
      <c r="AX10" s="19"/>
      <c r="AY10" s="19"/>
      <c r="AZ10" s="19"/>
      <c r="BA10" s="19"/>
      <c r="BB10" s="8">
        <f>SUM(Tabla1438[[#This Row],[Enero ]:[Dic]])</f>
        <v>1</v>
      </c>
      <c r="BC10" s="25">
        <f>IFERROR(IF(AO10=0,"",IF((BB10/AO10)&gt;100%,100%,(BB10/AO10))),"")</f>
        <v>1</v>
      </c>
      <c r="BD10" s="25">
        <f>IFERROR(BC10*AA10,"")</f>
        <v>0.6</v>
      </c>
      <c r="BE10" s="222">
        <f>Tabla1438[[#Totals],[Avance ponderado de la actividad]]*Tabla1438[[#This Row],[Peso porcentual de la Meta de Objetivo]]</f>
        <v>0.6</v>
      </c>
      <c r="BF10" s="222">
        <f>Tabla1438[[#This Row],[Avance ponderado frente a la meta de objetivo]]*Tabla1438[[#This Row],[Peso Porcentual del Objetivo Estratégico]]</f>
        <v>0.6</v>
      </c>
      <c r="BG10" s="222"/>
      <c r="BH10" s="222">
        <v>1</v>
      </c>
      <c r="BI10" s="28" t="s">
        <v>308</v>
      </c>
      <c r="BJ10" s="8" t="s">
        <v>329</v>
      </c>
      <c r="BK10" s="8" t="s">
        <v>330</v>
      </c>
      <c r="BL10" s="8" t="s">
        <v>331</v>
      </c>
    </row>
    <row r="11" spans="1:64" ht="58" x14ac:dyDescent="0.35">
      <c r="A11" s="46" t="s">
        <v>321</v>
      </c>
      <c r="B11" s="41" t="s">
        <v>322</v>
      </c>
      <c r="C11" s="41" t="s">
        <v>323</v>
      </c>
      <c r="D11" s="41"/>
      <c r="E11" s="41" t="s">
        <v>341</v>
      </c>
      <c r="F11" s="41"/>
      <c r="G11" s="41"/>
      <c r="H11" s="8"/>
      <c r="I11" s="8"/>
      <c r="J11" s="8"/>
      <c r="K11" s="8"/>
      <c r="L11" s="8"/>
      <c r="M11" s="8"/>
      <c r="N11" s="8"/>
      <c r="O11" s="8"/>
      <c r="P11" s="8"/>
      <c r="Q11" s="36"/>
      <c r="R11" s="20"/>
      <c r="S11" s="20"/>
      <c r="T11" s="20"/>
      <c r="U11" s="36"/>
      <c r="V11" s="36"/>
      <c r="W11" s="41" t="s">
        <v>160</v>
      </c>
      <c r="X11" s="41" t="s">
        <v>160</v>
      </c>
      <c r="Y11" s="8" t="s">
        <v>65</v>
      </c>
      <c r="Z11" s="8" t="s">
        <v>65</v>
      </c>
      <c r="AA11" s="37">
        <v>0.4</v>
      </c>
      <c r="AB11" s="54" t="s">
        <v>345</v>
      </c>
      <c r="AC11" s="41" t="s">
        <v>346</v>
      </c>
      <c r="AD11" s="67">
        <v>45111</v>
      </c>
      <c r="AE11" s="49">
        <v>45289</v>
      </c>
      <c r="AF11" s="41" t="s">
        <v>347</v>
      </c>
      <c r="AG11" s="8" t="s">
        <v>348</v>
      </c>
      <c r="AH11" s="55">
        <v>0.9</v>
      </c>
      <c r="AI11" s="53" t="s">
        <v>259</v>
      </c>
      <c r="AJ11" s="37" t="s">
        <v>65</v>
      </c>
      <c r="AK11" s="53"/>
      <c r="AL11" s="53"/>
      <c r="AM11" s="53"/>
      <c r="AN11" s="55">
        <v>0.9</v>
      </c>
      <c r="AO11" s="55">
        <v>0.9</v>
      </c>
      <c r="AP11" s="55"/>
      <c r="AQ11" s="55"/>
      <c r="AR11" s="55"/>
      <c r="AS11" s="69"/>
      <c r="AT11" s="69"/>
      <c r="AU11" s="69"/>
      <c r="AV11" s="69"/>
      <c r="AW11" s="69"/>
      <c r="AX11" s="69"/>
      <c r="AY11" s="69"/>
      <c r="AZ11" s="69"/>
      <c r="BA11" s="69"/>
      <c r="BB11" s="55">
        <f>+Tabla1438[[#This Row],[Dic]]</f>
        <v>0</v>
      </c>
      <c r="BC11" s="17">
        <f>IFERROR(IF(AO11=0,"",IF((BB11/AO11)&gt;100%,100%,(BB11/AO11))),"")</f>
        <v>0</v>
      </c>
      <c r="BD11" s="17">
        <f>IFERROR(BC11*AA11,"")</f>
        <v>0</v>
      </c>
      <c r="BE11" s="68"/>
      <c r="BF11" s="68"/>
      <c r="BG11" s="68"/>
      <c r="BH11" s="68"/>
      <c r="BI11" s="28" t="s">
        <v>308</v>
      </c>
      <c r="BJ11" s="8" t="s">
        <v>329</v>
      </c>
      <c r="BK11" s="8" t="s">
        <v>330</v>
      </c>
      <c r="BL11" s="8" t="s">
        <v>331</v>
      </c>
    </row>
    <row r="12" spans="1:64" x14ac:dyDescent="0.35">
      <c r="A12" s="149"/>
      <c r="B12" s="149"/>
      <c r="C12" s="150"/>
      <c r="D12" s="150"/>
      <c r="E12" s="150"/>
      <c r="F12" s="150"/>
      <c r="G12" s="150"/>
      <c r="H12" s="151"/>
      <c r="I12" s="151"/>
      <c r="J12" s="151"/>
      <c r="K12" s="151"/>
      <c r="L12" s="151"/>
      <c r="M12" s="151"/>
      <c r="N12" s="151"/>
      <c r="O12" s="151"/>
      <c r="P12" s="151"/>
      <c r="Q12" s="152"/>
      <c r="R12" s="152"/>
      <c r="S12" s="152"/>
      <c r="T12" s="152"/>
      <c r="U12" s="152"/>
      <c r="V12" s="152"/>
      <c r="W12" s="150"/>
      <c r="X12" s="150"/>
      <c r="Y12" s="151"/>
      <c r="Z12" s="151"/>
      <c r="AA12" s="151"/>
      <c r="AB12" s="150"/>
      <c r="AC12" s="149"/>
      <c r="AD12" s="161"/>
      <c r="AE12" s="156"/>
      <c r="AF12" s="149"/>
      <c r="AG12" s="156"/>
      <c r="AH12" s="156"/>
      <c r="AI12" s="156"/>
      <c r="AJ12" s="156"/>
      <c r="AK12" s="156"/>
      <c r="AL12" s="156"/>
      <c r="AM12" s="156"/>
      <c r="AN12" s="156"/>
      <c r="AO12" s="156"/>
      <c r="AP12" s="157"/>
      <c r="AQ12" s="157"/>
      <c r="AR12" s="157"/>
      <c r="AS12" s="157"/>
      <c r="AT12" s="157"/>
      <c r="AU12" s="157"/>
      <c r="AV12" s="157"/>
      <c r="AW12" s="157"/>
      <c r="AX12" s="157"/>
      <c r="AY12" s="157"/>
      <c r="AZ12" s="157"/>
      <c r="BA12" s="157"/>
      <c r="BB12" s="157"/>
      <c r="BC12" s="157"/>
      <c r="BD12" s="160">
        <f>SUM(Tabla1438[Avance ponderado de la actividad])</f>
        <v>0.6</v>
      </c>
      <c r="BE12" s="157"/>
      <c r="BF12" s="157"/>
      <c r="BG12" s="157"/>
      <c r="BH12" s="157"/>
      <c r="BI12" s="156"/>
      <c r="BJ12" s="156"/>
      <c r="BK12" s="156"/>
      <c r="BL12" s="156"/>
    </row>
    <row r="14" spans="1:64" hidden="1" x14ac:dyDescent="0.35">
      <c r="BG14" s="100" t="s">
        <v>846</v>
      </c>
      <c r="BH14" s="100"/>
      <c r="BI14" s="100" t="s">
        <v>534</v>
      </c>
      <c r="BJ14" s="100" t="s">
        <v>535</v>
      </c>
    </row>
    <row r="15" spans="1:64" hidden="1" x14ac:dyDescent="0.35">
      <c r="BD15" s="99" t="s">
        <v>530</v>
      </c>
      <c r="BF15" s="100">
        <f>+BF10</f>
        <v>0.6</v>
      </c>
      <c r="BG15" s="108">
        <f>BF17/BF15</f>
        <v>1</v>
      </c>
      <c r="BH15" s="109"/>
      <c r="BI15" s="304" t="s">
        <v>65</v>
      </c>
    </row>
    <row r="16" spans="1:64" hidden="1" x14ac:dyDescent="0.35">
      <c r="BD16" s="101" t="s">
        <v>526</v>
      </c>
      <c r="BF16" s="104">
        <f>BF15*(AVERAGE(Tabla1438[[Reporte Oportuno Meta de Objetivo]:[Reporte Oportuno Actividad]]))</f>
        <v>0.6</v>
      </c>
    </row>
    <row r="17" spans="1:58" hidden="1" x14ac:dyDescent="0.35">
      <c r="BD17" t="s">
        <v>531</v>
      </c>
      <c r="BF17" s="103">
        <f>AVERAGE(BF15:BF16)</f>
        <v>0.6</v>
      </c>
    </row>
    <row r="18" spans="1:58" hidden="1" x14ac:dyDescent="0.35"/>
    <row r="19" spans="1:58" x14ac:dyDescent="0.35">
      <c r="A19" s="54" t="s">
        <v>4</v>
      </c>
      <c r="B19" s="323" t="s">
        <v>468</v>
      </c>
      <c r="C19" s="324"/>
      <c r="D19" s="66"/>
    </row>
    <row r="20" spans="1:58" ht="76" customHeight="1" x14ac:dyDescent="0.35">
      <c r="A20" s="41" t="s">
        <v>5</v>
      </c>
      <c r="B20" s="310"/>
      <c r="C20" s="311"/>
      <c r="D20" s="7"/>
    </row>
    <row r="21" spans="1:58" x14ac:dyDescent="0.35">
      <c r="A21" s="6"/>
      <c r="B21" s="6"/>
    </row>
    <row r="23" spans="1:58" x14ac:dyDescent="0.35">
      <c r="A23" s="59"/>
      <c r="B23" s="59"/>
    </row>
    <row r="24" spans="1:58" x14ac:dyDescent="0.35">
      <c r="A24" s="59" t="s">
        <v>546</v>
      </c>
      <c r="B24" s="59"/>
    </row>
    <row r="25" spans="1:58" x14ac:dyDescent="0.35">
      <c r="A25" s="1" t="s">
        <v>1</v>
      </c>
    </row>
  </sheetData>
  <mergeCells count="18">
    <mergeCell ref="AP8:AR8"/>
    <mergeCell ref="AS8:AU8"/>
    <mergeCell ref="AV8:AX8"/>
    <mergeCell ref="AY8:BA8"/>
    <mergeCell ref="B1:BL2"/>
    <mergeCell ref="U7:V8"/>
    <mergeCell ref="W7:Z8"/>
    <mergeCell ref="AB7:AE8"/>
    <mergeCell ref="AF7:AI8"/>
    <mergeCell ref="AK7:AO8"/>
    <mergeCell ref="AP7:BA7"/>
    <mergeCell ref="BI7:BL8"/>
    <mergeCell ref="BB7:BH8"/>
    <mergeCell ref="B19:C19"/>
    <mergeCell ref="B20:C20"/>
    <mergeCell ref="A7:J8"/>
    <mergeCell ref="L7:P8"/>
    <mergeCell ref="Q7:T8"/>
  </mergeCells>
  <dataValidations count="1">
    <dataValidation type="textLength" showInputMessage="1" showErrorMessage="1" promptTitle="CARACTERES PERMITIDOS EN EL ASE" prompt="La extensión del texto no debe superar 90 caracteres." sqref="AB11" xr:uid="{027240B5-D047-4229-A497-C4AEF55DDBEE}">
      <formula1>0</formula1>
      <formula2>90</formula2>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3DCF-BEB4-4949-9183-F8148CA4C474}">
  <dimension ref="A1:BL25"/>
  <sheetViews>
    <sheetView showGridLines="0" zoomScale="80" zoomScaleNormal="80" workbookViewId="0">
      <selection activeCell="BB2" sqref="BB1:BH104857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14" t="s">
        <v>465</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6" t="s">
        <v>536</v>
      </c>
      <c r="B4" s="107">
        <f>+BI15</f>
        <v>1</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6" t="s">
        <v>537</v>
      </c>
      <c r="B5" s="107">
        <f>+BI17</f>
        <v>0.3</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12" t="s">
        <v>48</v>
      </c>
      <c r="B7" s="312"/>
      <c r="C7" s="312"/>
      <c r="D7" s="312"/>
      <c r="E7" s="312"/>
      <c r="F7" s="312"/>
      <c r="G7" s="312"/>
      <c r="H7" s="312"/>
      <c r="I7" s="312"/>
      <c r="J7" s="312"/>
      <c r="K7" s="110"/>
      <c r="L7" s="315" t="s">
        <v>52</v>
      </c>
      <c r="M7" s="316"/>
      <c r="N7" s="316"/>
      <c r="O7" s="316"/>
      <c r="P7" s="317"/>
      <c r="Q7" s="312" t="s">
        <v>27</v>
      </c>
      <c r="R7" s="312"/>
      <c r="S7" s="312"/>
      <c r="T7" s="312"/>
      <c r="U7" s="312" t="s">
        <v>41</v>
      </c>
      <c r="V7" s="312"/>
      <c r="W7" s="315" t="s">
        <v>10</v>
      </c>
      <c r="X7" s="316"/>
      <c r="Y7" s="316"/>
      <c r="Z7" s="317"/>
      <c r="AA7" s="111"/>
      <c r="AB7" s="312" t="s">
        <v>20</v>
      </c>
      <c r="AC7" s="312"/>
      <c r="AD7" s="312"/>
      <c r="AE7" s="312"/>
      <c r="AF7" s="315" t="s">
        <v>49</v>
      </c>
      <c r="AG7" s="316"/>
      <c r="AH7" s="316"/>
      <c r="AI7" s="317"/>
      <c r="AJ7" s="111"/>
      <c r="AK7" s="315" t="s">
        <v>21</v>
      </c>
      <c r="AL7" s="316"/>
      <c r="AM7" s="316"/>
      <c r="AN7" s="316"/>
      <c r="AO7" s="317"/>
      <c r="AP7" s="328" t="s">
        <v>27</v>
      </c>
      <c r="AQ7" s="329"/>
      <c r="AR7" s="329"/>
      <c r="AS7" s="329"/>
      <c r="AT7" s="329"/>
      <c r="AU7" s="329"/>
      <c r="AV7" s="329"/>
      <c r="AW7" s="329"/>
      <c r="AX7" s="329"/>
      <c r="AY7" s="329"/>
      <c r="AZ7" s="329"/>
      <c r="BA7" s="329"/>
      <c r="BB7" s="330" t="s">
        <v>41</v>
      </c>
      <c r="BC7" s="331"/>
      <c r="BD7" s="331"/>
      <c r="BE7" s="331"/>
      <c r="BF7" s="331"/>
      <c r="BG7" s="331"/>
      <c r="BH7" s="332"/>
      <c r="BI7" s="321"/>
      <c r="BJ7" s="321"/>
      <c r="BK7" s="321"/>
      <c r="BL7" s="321"/>
    </row>
    <row r="8" spans="1:64" ht="30.65" customHeight="1" x14ac:dyDescent="0.35">
      <c r="A8" s="312"/>
      <c r="B8" s="312"/>
      <c r="C8" s="312"/>
      <c r="D8" s="312"/>
      <c r="E8" s="312"/>
      <c r="F8" s="312"/>
      <c r="G8" s="312"/>
      <c r="H8" s="312"/>
      <c r="I8" s="312"/>
      <c r="J8" s="312"/>
      <c r="K8" s="112"/>
      <c r="L8" s="318"/>
      <c r="M8" s="319"/>
      <c r="N8" s="319"/>
      <c r="O8" s="319"/>
      <c r="P8" s="320"/>
      <c r="Q8" s="312"/>
      <c r="R8" s="312"/>
      <c r="S8" s="312"/>
      <c r="T8" s="312"/>
      <c r="U8" s="312"/>
      <c r="V8" s="312"/>
      <c r="W8" s="318"/>
      <c r="X8" s="319"/>
      <c r="Y8" s="319"/>
      <c r="Z8" s="320"/>
      <c r="AA8" s="113"/>
      <c r="AB8" s="312"/>
      <c r="AC8" s="312"/>
      <c r="AD8" s="312"/>
      <c r="AE8" s="312"/>
      <c r="AF8" s="318"/>
      <c r="AG8" s="319"/>
      <c r="AH8" s="319"/>
      <c r="AI8" s="320"/>
      <c r="AJ8" s="113"/>
      <c r="AK8" s="318"/>
      <c r="AL8" s="319"/>
      <c r="AM8" s="319"/>
      <c r="AN8" s="319"/>
      <c r="AO8" s="320"/>
      <c r="AP8" s="325" t="s">
        <v>22</v>
      </c>
      <c r="AQ8" s="326"/>
      <c r="AR8" s="326"/>
      <c r="AS8" s="325" t="s">
        <v>23</v>
      </c>
      <c r="AT8" s="326"/>
      <c r="AU8" s="327"/>
      <c r="AV8" s="325" t="s">
        <v>24</v>
      </c>
      <c r="AW8" s="326"/>
      <c r="AX8" s="327"/>
      <c r="AY8" s="325" t="s">
        <v>25</v>
      </c>
      <c r="AZ8" s="326"/>
      <c r="BA8" s="326"/>
      <c r="BB8" s="318"/>
      <c r="BC8" s="319"/>
      <c r="BD8" s="319"/>
      <c r="BE8" s="319"/>
      <c r="BF8" s="319"/>
      <c r="BG8" s="319"/>
      <c r="BH8" s="320"/>
      <c r="BI8" s="322"/>
      <c r="BJ8" s="322"/>
      <c r="BK8" s="322"/>
      <c r="BL8" s="322"/>
    </row>
    <row r="9" spans="1:64" ht="105.65" customHeight="1" x14ac:dyDescent="0.35">
      <c r="A9" s="114" t="s">
        <v>7</v>
      </c>
      <c r="B9" s="114" t="s">
        <v>8</v>
      </c>
      <c r="C9" s="114" t="s">
        <v>9</v>
      </c>
      <c r="D9" s="115" t="s">
        <v>532</v>
      </c>
      <c r="E9" s="115" t="s">
        <v>50</v>
      </c>
      <c r="F9" s="116" t="s">
        <v>541</v>
      </c>
      <c r="G9" s="116" t="s">
        <v>542</v>
      </c>
      <c r="H9" s="116" t="s">
        <v>14</v>
      </c>
      <c r="I9" s="116" t="s">
        <v>64</v>
      </c>
      <c r="J9" s="116" t="s">
        <v>16</v>
      </c>
      <c r="K9" s="116" t="s">
        <v>543</v>
      </c>
      <c r="L9" s="117" t="s">
        <v>22</v>
      </c>
      <c r="M9" s="117" t="s">
        <v>23</v>
      </c>
      <c r="N9" s="117" t="s">
        <v>24</v>
      </c>
      <c r="O9" s="117" t="s">
        <v>25</v>
      </c>
      <c r="P9" s="118" t="s">
        <v>26</v>
      </c>
      <c r="Q9" s="117" t="s">
        <v>53</v>
      </c>
      <c r="R9" s="117" t="s">
        <v>54</v>
      </c>
      <c r="S9" s="117" t="s">
        <v>43</v>
      </c>
      <c r="T9" s="117" t="s">
        <v>55</v>
      </c>
      <c r="U9" s="117" t="s">
        <v>46</v>
      </c>
      <c r="V9" s="117" t="s">
        <v>51</v>
      </c>
      <c r="W9" s="114" t="s">
        <v>0</v>
      </c>
      <c r="X9" s="114" t="s">
        <v>2</v>
      </c>
      <c r="Y9" s="117" t="s">
        <v>11</v>
      </c>
      <c r="Z9" s="117" t="s">
        <v>12</v>
      </c>
      <c r="AA9" s="117" t="s">
        <v>544</v>
      </c>
      <c r="AB9" s="114" t="s">
        <v>17</v>
      </c>
      <c r="AC9" s="114" t="s">
        <v>6</v>
      </c>
      <c r="AD9" s="116" t="s">
        <v>18</v>
      </c>
      <c r="AE9" s="116" t="s">
        <v>19</v>
      </c>
      <c r="AF9" s="115" t="s">
        <v>13</v>
      </c>
      <c r="AG9" s="116" t="s">
        <v>57</v>
      </c>
      <c r="AH9" s="116" t="s">
        <v>15</v>
      </c>
      <c r="AI9" s="116" t="s">
        <v>58</v>
      </c>
      <c r="AJ9" s="116" t="s">
        <v>545</v>
      </c>
      <c r="AK9" s="119" t="s">
        <v>42</v>
      </c>
      <c r="AL9" s="119" t="s">
        <v>59</v>
      </c>
      <c r="AM9" s="119" t="s">
        <v>60</v>
      </c>
      <c r="AN9" s="119" t="s">
        <v>44</v>
      </c>
      <c r="AO9" s="120" t="s">
        <v>61</v>
      </c>
      <c r="AP9" s="121" t="s">
        <v>28</v>
      </c>
      <c r="AQ9" s="121" t="s">
        <v>29</v>
      </c>
      <c r="AR9" s="121" t="s">
        <v>30</v>
      </c>
      <c r="AS9" s="121" t="s">
        <v>31</v>
      </c>
      <c r="AT9" s="121" t="s">
        <v>32</v>
      </c>
      <c r="AU9" s="121" t="s">
        <v>33</v>
      </c>
      <c r="AV9" s="121" t="s">
        <v>34</v>
      </c>
      <c r="AW9" s="121" t="s">
        <v>35</v>
      </c>
      <c r="AX9" s="121" t="s">
        <v>36</v>
      </c>
      <c r="AY9" s="121" t="s">
        <v>37</v>
      </c>
      <c r="AZ9" s="121" t="s">
        <v>38</v>
      </c>
      <c r="BA9" s="121" t="s">
        <v>39</v>
      </c>
      <c r="BB9" s="117" t="s">
        <v>40</v>
      </c>
      <c r="BC9" s="117" t="s">
        <v>45</v>
      </c>
      <c r="BD9" s="117" t="s">
        <v>528</v>
      </c>
      <c r="BE9" s="117" t="s">
        <v>527</v>
      </c>
      <c r="BF9" s="117" t="s">
        <v>529</v>
      </c>
      <c r="BG9" s="117" t="s">
        <v>524</v>
      </c>
      <c r="BH9" s="117" t="s">
        <v>525</v>
      </c>
      <c r="BI9" s="117" t="s">
        <v>504</v>
      </c>
      <c r="BJ9" s="117" t="s">
        <v>512</v>
      </c>
      <c r="BK9" s="117" t="s">
        <v>3</v>
      </c>
      <c r="BL9" s="117" t="s">
        <v>56</v>
      </c>
    </row>
    <row r="10" spans="1:64" ht="116" x14ac:dyDescent="0.35">
      <c r="A10" s="46" t="s">
        <v>321</v>
      </c>
      <c r="B10" s="48" t="s">
        <v>322</v>
      </c>
      <c r="C10" s="41" t="s">
        <v>323</v>
      </c>
      <c r="D10" s="17">
        <v>1</v>
      </c>
      <c r="E10" s="41" t="s">
        <v>335</v>
      </c>
      <c r="F10" s="17">
        <v>1</v>
      </c>
      <c r="G10" s="37" t="s">
        <v>65</v>
      </c>
      <c r="H10" s="8" t="s">
        <v>86</v>
      </c>
      <c r="I10" s="8">
        <v>1</v>
      </c>
      <c r="J10" s="8" t="s">
        <v>388</v>
      </c>
      <c r="K10" s="37" t="s">
        <v>65</v>
      </c>
      <c r="L10" s="8"/>
      <c r="M10" s="8"/>
      <c r="N10" s="8"/>
      <c r="O10" s="8">
        <v>1</v>
      </c>
      <c r="P10" s="8">
        <f>SUM(Tabla1437[[#This Row],[TRIM I]:[TRIM IV]])</f>
        <v>1</v>
      </c>
      <c r="Q10" s="8"/>
      <c r="R10" s="8"/>
      <c r="S10" s="8"/>
      <c r="T10" s="8"/>
      <c r="U10" s="8">
        <f>SUM(Tabla1437[[#This Row],[TRIM I    ]:[TRIM IV    ]])</f>
        <v>0</v>
      </c>
      <c r="V10" s="17">
        <f>IFERROR(IF(P10=0,"",IF((U10/P10)&gt;100%,100%,(U10/P10))),"")</f>
        <v>0</v>
      </c>
      <c r="W10" s="41" t="s">
        <v>160</v>
      </c>
      <c r="X10" s="41" t="s">
        <v>160</v>
      </c>
      <c r="Y10" s="8" t="s">
        <v>65</v>
      </c>
      <c r="Z10" s="8" t="s">
        <v>65</v>
      </c>
      <c r="AA10" s="37">
        <v>0.3</v>
      </c>
      <c r="AB10" s="41" t="s">
        <v>352</v>
      </c>
      <c r="AC10" s="41" t="s">
        <v>353</v>
      </c>
      <c r="AD10" s="49">
        <v>44928</v>
      </c>
      <c r="AE10" s="50">
        <v>44985</v>
      </c>
      <c r="AF10" s="41" t="s">
        <v>354</v>
      </c>
      <c r="AG10" s="8" t="s">
        <v>355</v>
      </c>
      <c r="AH10" s="8">
        <v>1</v>
      </c>
      <c r="AI10" s="8" t="s">
        <v>390</v>
      </c>
      <c r="AJ10" s="37" t="s">
        <v>65</v>
      </c>
      <c r="AK10" s="8">
        <v>1</v>
      </c>
      <c r="AL10" s="8"/>
      <c r="AM10" s="8"/>
      <c r="AN10" s="8"/>
      <c r="AO10" s="8">
        <f>SUM(Tabla1437[[#This Row],[TRIM I   ]:[TRIM IV     ]])</f>
        <v>1</v>
      </c>
      <c r="AP10" s="48"/>
      <c r="AQ10" s="48"/>
      <c r="AR10" s="57">
        <v>1</v>
      </c>
      <c r="AS10" s="71"/>
      <c r="AT10" s="71"/>
      <c r="AU10" s="71"/>
      <c r="AV10" s="71"/>
      <c r="AW10" s="71"/>
      <c r="AX10" s="71"/>
      <c r="AY10" s="71"/>
      <c r="AZ10" s="71"/>
      <c r="BA10" s="71"/>
      <c r="BB10" s="57">
        <f>SUM(Tabla1437[[#This Row],[Enero ]:[Dic]])</f>
        <v>1</v>
      </c>
      <c r="BC10" s="17">
        <f>IFERROR(IF(AO10=0,"",IF((BB10/AO10)&gt;100%,100%,(BB10/AO10))),"")</f>
        <v>1</v>
      </c>
      <c r="BD10" s="17">
        <f>IFERROR(BC10*AA10,"")</f>
        <v>0.3</v>
      </c>
      <c r="BE10" s="47">
        <f>Tabla1437[[#Totals],[Avance ponderado de la actividad]]*Tabla1437[[#This Row],[Peso porcentual de la Meta de Objetivo]]</f>
        <v>0.3</v>
      </c>
      <c r="BF10" s="47">
        <f>Tabla1437[[#This Row],[Avance ponderado frente a la meta de objetivo]]*Tabla1437[[#This Row],[Peso Porcentual del Objetivo Estratégico]]</f>
        <v>0.3</v>
      </c>
      <c r="BG10" s="47"/>
      <c r="BH10" s="47"/>
      <c r="BI10" s="28" t="s">
        <v>308</v>
      </c>
      <c r="BJ10" s="8" t="s">
        <v>329</v>
      </c>
      <c r="BK10" s="8" t="s">
        <v>330</v>
      </c>
      <c r="BL10" s="8" t="s">
        <v>331</v>
      </c>
    </row>
    <row r="11" spans="1:64" ht="43.5" x14ac:dyDescent="0.35">
      <c r="A11" s="46" t="s">
        <v>321</v>
      </c>
      <c r="B11" s="48" t="s">
        <v>322</v>
      </c>
      <c r="C11" s="41" t="s">
        <v>323</v>
      </c>
      <c r="D11" s="41"/>
      <c r="E11" s="41"/>
      <c r="F11" s="41"/>
      <c r="G11" s="41"/>
      <c r="H11" s="8"/>
      <c r="I11" s="8"/>
      <c r="J11" s="8"/>
      <c r="K11" s="8"/>
      <c r="L11" s="8"/>
      <c r="M11" s="8"/>
      <c r="N11" s="8"/>
      <c r="O11" s="8"/>
      <c r="P11" s="8"/>
      <c r="Q11" s="36"/>
      <c r="R11" s="36"/>
      <c r="S11" s="36"/>
      <c r="T11" s="36"/>
      <c r="U11" s="36"/>
      <c r="V11" s="36"/>
      <c r="W11" s="41" t="s">
        <v>160</v>
      </c>
      <c r="X11" s="41" t="s">
        <v>160</v>
      </c>
      <c r="Y11" s="8" t="s">
        <v>65</v>
      </c>
      <c r="Z11" s="8" t="s">
        <v>65</v>
      </c>
      <c r="AA11" s="37">
        <v>0.7</v>
      </c>
      <c r="AB11" s="54" t="s">
        <v>356</v>
      </c>
      <c r="AC11" s="41" t="s">
        <v>356</v>
      </c>
      <c r="AD11" s="49">
        <v>44928</v>
      </c>
      <c r="AE11" s="49">
        <v>45289</v>
      </c>
      <c r="AF11" s="41" t="s">
        <v>357</v>
      </c>
      <c r="AG11" s="8" t="s">
        <v>358</v>
      </c>
      <c r="AH11" s="8">
        <v>1</v>
      </c>
      <c r="AI11" s="8" t="s">
        <v>388</v>
      </c>
      <c r="AJ11" s="37" t="s">
        <v>65</v>
      </c>
      <c r="AK11" s="53"/>
      <c r="AL11" s="53"/>
      <c r="AM11" s="53"/>
      <c r="AN11" s="8">
        <v>1</v>
      </c>
      <c r="AO11" s="8">
        <f>SUM(Tabla1437[[#This Row],[TRIM I   ]:[TRIM IV     ]])</f>
        <v>1</v>
      </c>
      <c r="AP11" s="70"/>
      <c r="AQ11" s="70"/>
      <c r="AR11" s="70"/>
      <c r="AS11" s="72"/>
      <c r="AT11" s="72"/>
      <c r="AU11" s="72"/>
      <c r="AV11" s="72"/>
      <c r="AW11" s="72"/>
      <c r="AX11" s="72"/>
      <c r="AY11" s="72"/>
      <c r="AZ11" s="72"/>
      <c r="BA11" s="72"/>
      <c r="BB11" s="57">
        <f>SUM(Tabla1437[[#This Row],[Enero ]:[Dic]])</f>
        <v>0</v>
      </c>
      <c r="BC11" s="17">
        <f>IFERROR(IF(AO11=0,"",IF((BB11/AO11)&gt;100%,100%,(BB11/AO11))),"")</f>
        <v>0</v>
      </c>
      <c r="BD11" s="17">
        <f>IFERROR(BC11*AA11,"")</f>
        <v>0</v>
      </c>
      <c r="BE11" s="47"/>
      <c r="BF11" s="47"/>
      <c r="BG11" s="47"/>
      <c r="BH11" s="47"/>
      <c r="BI11" s="28" t="s">
        <v>308</v>
      </c>
      <c r="BJ11" s="8" t="s">
        <v>329</v>
      </c>
      <c r="BK11" s="8" t="s">
        <v>330</v>
      </c>
      <c r="BL11" s="8" t="s">
        <v>331</v>
      </c>
    </row>
    <row r="12" spans="1:64" x14ac:dyDescent="0.35">
      <c r="A12" s="149"/>
      <c r="B12" s="149"/>
      <c r="C12" s="150"/>
      <c r="D12" s="150"/>
      <c r="E12" s="150"/>
      <c r="F12" s="150"/>
      <c r="G12" s="150"/>
      <c r="H12" s="151"/>
      <c r="I12" s="151"/>
      <c r="J12" s="151"/>
      <c r="K12" s="151"/>
      <c r="L12" s="151"/>
      <c r="M12" s="151"/>
      <c r="N12" s="151"/>
      <c r="O12" s="151"/>
      <c r="P12" s="151"/>
      <c r="Q12" s="152"/>
      <c r="R12" s="152"/>
      <c r="S12" s="152"/>
      <c r="T12" s="152"/>
      <c r="U12" s="152"/>
      <c r="V12" s="152"/>
      <c r="W12" s="150"/>
      <c r="X12" s="150"/>
      <c r="Y12" s="151"/>
      <c r="Z12" s="151"/>
      <c r="AA12" s="151"/>
      <c r="AB12" s="150"/>
      <c r="AC12" s="149"/>
      <c r="AD12" s="156"/>
      <c r="AE12" s="156"/>
      <c r="AF12" s="149"/>
      <c r="AG12" s="156"/>
      <c r="AH12" s="156"/>
      <c r="AI12" s="156"/>
      <c r="AJ12" s="156"/>
      <c r="AK12" s="156"/>
      <c r="AL12" s="156"/>
      <c r="AM12" s="156"/>
      <c r="AN12" s="156"/>
      <c r="AO12" s="156"/>
      <c r="AP12" s="157"/>
      <c r="AQ12" s="157"/>
      <c r="AR12" s="157"/>
      <c r="AS12" s="157"/>
      <c r="AT12" s="157"/>
      <c r="AU12" s="157"/>
      <c r="AV12" s="157"/>
      <c r="AW12" s="157"/>
      <c r="AX12" s="157"/>
      <c r="AY12" s="157"/>
      <c r="AZ12" s="157"/>
      <c r="BA12" s="157"/>
      <c r="BB12" s="157"/>
      <c r="BC12" s="157"/>
      <c r="BD12" s="160">
        <f>SUM(Tabla1437[Avance ponderado de la actividad])</f>
        <v>0.3</v>
      </c>
      <c r="BE12" s="157"/>
      <c r="BF12" s="157"/>
      <c r="BG12" s="157"/>
      <c r="BH12" s="157"/>
      <c r="BI12" s="151"/>
      <c r="BJ12" s="151"/>
      <c r="BK12" s="151"/>
      <c r="BL12" s="151"/>
    </row>
    <row r="14" spans="1:64" hidden="1" x14ac:dyDescent="0.35">
      <c r="BG14" s="100" t="s">
        <v>846</v>
      </c>
      <c r="BH14" s="100"/>
      <c r="BI14" s="100" t="s">
        <v>534</v>
      </c>
      <c r="BJ14" s="100" t="s">
        <v>535</v>
      </c>
    </row>
    <row r="15" spans="1:64" hidden="1" x14ac:dyDescent="0.35">
      <c r="BD15" s="99" t="s">
        <v>530</v>
      </c>
      <c r="BF15" s="100">
        <f>+BF10</f>
        <v>0.3</v>
      </c>
      <c r="BG15" s="108" t="e">
        <f>BF17/BF15</f>
        <v>#DIV/0!</v>
      </c>
      <c r="BH15" s="109"/>
      <c r="BI15" s="305">
        <v>1</v>
      </c>
    </row>
    <row r="16" spans="1:64" hidden="1" x14ac:dyDescent="0.35">
      <c r="BD16" s="101" t="s">
        <v>526</v>
      </c>
      <c r="BF16" s="104" t="e">
        <f>BF15*(AVERAGE(Tabla1437[[Reporte Oportuno Meta de Objetivo]:[Reporte Oportuno Actividad]]))</f>
        <v>#DIV/0!</v>
      </c>
    </row>
    <row r="17" spans="1:61" hidden="1" x14ac:dyDescent="0.35">
      <c r="BD17" t="s">
        <v>531</v>
      </c>
      <c r="BF17" s="103" t="e">
        <f>AVERAGE(BF15:BF16)</f>
        <v>#DIV/0!</v>
      </c>
      <c r="BI17" s="308">
        <v>0.3</v>
      </c>
    </row>
    <row r="18" spans="1:61" hidden="1" x14ac:dyDescent="0.35"/>
    <row r="19" spans="1:61" x14ac:dyDescent="0.35">
      <c r="A19" s="54" t="s">
        <v>4</v>
      </c>
      <c r="B19" s="323" t="s">
        <v>468</v>
      </c>
      <c r="C19" s="324"/>
      <c r="D19" s="66"/>
    </row>
    <row r="20" spans="1:61" ht="76" customHeight="1" x14ac:dyDescent="0.35">
      <c r="A20" s="41" t="s">
        <v>5</v>
      </c>
      <c r="B20" s="310"/>
      <c r="C20" s="311"/>
      <c r="D20" s="7"/>
    </row>
    <row r="21" spans="1:61" x14ac:dyDescent="0.35">
      <c r="A21" s="6"/>
      <c r="B21" s="6"/>
    </row>
    <row r="23" spans="1:61" x14ac:dyDescent="0.35">
      <c r="A23" s="59"/>
      <c r="B23" s="59"/>
    </row>
    <row r="24" spans="1:61" x14ac:dyDescent="0.35">
      <c r="A24" s="59" t="s">
        <v>546</v>
      </c>
      <c r="B24" s="59"/>
    </row>
    <row r="25" spans="1:61" x14ac:dyDescent="0.35">
      <c r="A25" s="1" t="s">
        <v>1</v>
      </c>
    </row>
  </sheetData>
  <mergeCells count="18">
    <mergeCell ref="AP8:AR8"/>
    <mergeCell ref="AS8:AU8"/>
    <mergeCell ref="AV8:AX8"/>
    <mergeCell ref="AY8:BA8"/>
    <mergeCell ref="B1:BL1"/>
    <mergeCell ref="U7:V8"/>
    <mergeCell ref="W7:Z8"/>
    <mergeCell ref="AB7:AE8"/>
    <mergeCell ref="AF7:AI8"/>
    <mergeCell ref="AK7:AO8"/>
    <mergeCell ref="AP7:BA7"/>
    <mergeCell ref="BI7:BL8"/>
    <mergeCell ref="BB7:BH8"/>
    <mergeCell ref="B19:C19"/>
    <mergeCell ref="B20:C20"/>
    <mergeCell ref="A7:J8"/>
    <mergeCell ref="L7:P8"/>
    <mergeCell ref="Q7:T8"/>
  </mergeCells>
  <phoneticPr fontId="4" type="noConversion"/>
  <dataValidations count="1">
    <dataValidation type="textLength" showInputMessage="1" showErrorMessage="1" promptTitle="CARACTERES PERMITIDOS EN EL ASE" prompt="La extensión del texto no debe superar 90 caracteres." sqref="AB11" xr:uid="{B45F748F-D1D3-4E57-8DD1-101E8328A799}">
      <formula1>0</formula1>
      <formula2>90</formula2>
    </dataValidation>
  </dataValidation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8E52-916B-4660-B80F-5FD14A7C40E1}">
  <dimension ref="A1:BL60"/>
  <sheetViews>
    <sheetView showGridLines="0" zoomScale="70" zoomScaleNormal="70" workbookViewId="0">
      <selection activeCell="AL9" sqref="AL9"/>
    </sheetView>
  </sheetViews>
  <sheetFormatPr baseColWidth="10" defaultRowHeight="14.5" x14ac:dyDescent="0.35"/>
  <cols>
    <col min="1" max="2" width="40.1796875" style="5" customWidth="1"/>
    <col min="3" max="3" width="44.54296875" style="6" customWidth="1"/>
    <col min="4" max="4" width="44.54296875" style="7" customWidth="1"/>
    <col min="5" max="5" width="44.54296875" style="6" customWidth="1"/>
    <col min="6" max="7" width="44.54296875" style="7" hidden="1" customWidth="1"/>
    <col min="8" max="10" width="44.54296875" style="7" customWidth="1"/>
    <col min="11" max="11" width="44.54296875" style="7" hidden="1" customWidth="1"/>
    <col min="12" max="16" width="11.7265625" style="7" customWidth="1"/>
    <col min="17" max="20" width="11.7265625" style="1" hidden="1" customWidth="1"/>
    <col min="21" max="22" width="22.1796875" style="1" hidden="1" customWidth="1"/>
    <col min="23" max="26" width="40.54296875" style="6" customWidth="1"/>
    <col min="27" max="27" width="40.54296875" style="7" customWidth="1"/>
    <col min="28" max="28" width="44.54296875" style="6" customWidth="1"/>
    <col min="29" max="29" width="44.54296875" style="5" customWidth="1"/>
    <col min="30" max="30" width="23" style="4" hidden="1" customWidth="1"/>
    <col min="31" max="31" width="23.1796875" style="4" hidden="1" customWidth="1"/>
    <col min="32" max="32" width="27.54296875" style="5" hidden="1" customWidth="1"/>
    <col min="33" max="34" width="27.54296875" style="4" customWidth="1"/>
    <col min="35" max="36" width="27.54296875" style="4" hidden="1"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s="101" customFormat="1" ht="104.25" customHeight="1" x14ac:dyDescent="0.35">
      <c r="A1" s="185"/>
      <c r="B1" s="186"/>
      <c r="C1" s="186"/>
      <c r="D1" s="105"/>
      <c r="E1" s="105"/>
      <c r="F1" s="105"/>
      <c r="G1" s="105"/>
      <c r="H1" s="105"/>
      <c r="I1" s="105"/>
      <c r="J1" s="105"/>
      <c r="K1" s="105"/>
      <c r="L1" s="105"/>
      <c r="M1" s="105"/>
      <c r="N1" s="105"/>
      <c r="O1" s="105"/>
      <c r="P1" s="105"/>
      <c r="Q1" s="109"/>
      <c r="R1" s="109"/>
      <c r="S1" s="109"/>
      <c r="T1" s="109"/>
      <c r="U1" s="109"/>
      <c r="V1" s="109"/>
      <c r="W1" s="105"/>
      <c r="X1" s="105"/>
      <c r="Y1" s="105"/>
      <c r="Z1" s="105"/>
      <c r="AA1" s="105"/>
      <c r="AB1" s="184" t="s">
        <v>466</v>
      </c>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row>
    <row r="2" spans="1:64" ht="26.15" customHeight="1" x14ac:dyDescent="0.35">
      <c r="B2" s="4"/>
      <c r="C2" s="4"/>
      <c r="D2" s="4"/>
      <c r="E2" s="4"/>
      <c r="F2" s="4"/>
      <c r="G2" s="4"/>
      <c r="H2" s="4"/>
      <c r="I2" s="4"/>
      <c r="J2" s="4"/>
      <c r="K2" s="4"/>
      <c r="L2" s="4"/>
      <c r="M2" s="4"/>
      <c r="N2" s="4"/>
      <c r="O2" s="4"/>
      <c r="P2" s="4"/>
      <c r="Q2" s="73"/>
      <c r="R2" s="73"/>
      <c r="S2" s="73"/>
      <c r="T2" s="73"/>
      <c r="U2" s="73"/>
      <c r="V2" s="73"/>
      <c r="W2" s="4"/>
      <c r="X2" s="4"/>
      <c r="Y2" s="4"/>
      <c r="Z2" s="4"/>
      <c r="AA2" s="4"/>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B3" s="4"/>
      <c r="C3" s="4"/>
      <c r="D3" s="4"/>
      <c r="E3" s="4"/>
      <c r="F3" s="4"/>
      <c r="G3" s="4"/>
      <c r="H3" s="4"/>
      <c r="I3" s="4"/>
      <c r="J3" s="4"/>
      <c r="K3" s="4"/>
      <c r="L3" s="4"/>
      <c r="M3" s="4"/>
      <c r="N3" s="4"/>
      <c r="O3" s="4"/>
      <c r="P3" s="4"/>
      <c r="Q3" s="73"/>
      <c r="R3" s="73"/>
      <c r="S3" s="73"/>
      <c r="T3" s="73"/>
      <c r="U3" s="73"/>
      <c r="V3" s="73"/>
      <c r="W3" s="4"/>
      <c r="X3" s="4"/>
      <c r="Y3" s="4"/>
      <c r="Z3" s="4"/>
      <c r="AA3" s="4"/>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6" t="s">
        <v>536</v>
      </c>
      <c r="B4" s="107">
        <f>+BG50</f>
        <v>0.95363636363636362</v>
      </c>
      <c r="C4" s="4"/>
      <c r="D4" s="4"/>
      <c r="E4" s="4"/>
      <c r="F4" s="4"/>
      <c r="G4" s="4"/>
      <c r="H4" s="4"/>
      <c r="I4" s="4"/>
      <c r="J4" s="4"/>
      <c r="K4" s="4"/>
      <c r="L4" s="4"/>
      <c r="M4" s="4"/>
      <c r="N4" s="4"/>
      <c r="O4" s="4"/>
      <c r="P4" s="4"/>
      <c r="Q4" s="73"/>
      <c r="R4" s="73"/>
      <c r="S4" s="73"/>
      <c r="T4" s="73"/>
      <c r="U4" s="73"/>
      <c r="V4" s="73"/>
      <c r="W4" s="4"/>
      <c r="X4" s="4"/>
      <c r="Y4" s="4"/>
      <c r="Z4" s="4"/>
      <c r="AA4" s="4"/>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6" t="s">
        <v>537</v>
      </c>
      <c r="B5" s="107">
        <f>+BF52</f>
        <v>0.40238924772727275</v>
      </c>
      <c r="C5" s="4"/>
      <c r="D5" s="4"/>
      <c r="E5" s="4"/>
      <c r="F5" s="4"/>
      <c r="G5" s="4"/>
      <c r="H5" s="4"/>
      <c r="I5" s="4"/>
      <c r="J5" s="4"/>
      <c r="K5" s="4"/>
      <c r="L5" s="4"/>
      <c r="M5" s="4"/>
      <c r="N5" s="4"/>
      <c r="O5" s="4"/>
      <c r="P5" s="4"/>
      <c r="Q5" s="73"/>
      <c r="R5" s="73"/>
      <c r="S5" s="73"/>
      <c r="T5" s="73"/>
      <c r="U5" s="73"/>
      <c r="V5" s="73"/>
      <c r="W5" s="4"/>
      <c r="X5" s="4"/>
      <c r="Y5" s="4"/>
      <c r="Z5" s="4"/>
      <c r="AA5" s="4"/>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B6" s="4"/>
      <c r="C6" s="4"/>
      <c r="D6" s="4"/>
      <c r="E6" s="4"/>
      <c r="F6" s="4"/>
      <c r="G6" s="4"/>
      <c r="H6" s="4"/>
      <c r="I6" s="4"/>
      <c r="J6" s="4"/>
      <c r="K6" s="4"/>
      <c r="L6" s="4"/>
      <c r="M6" s="4"/>
      <c r="N6" s="4"/>
      <c r="O6" s="4"/>
      <c r="P6" s="4"/>
      <c r="Q6" s="73"/>
      <c r="R6" s="73"/>
      <c r="S6" s="73"/>
      <c r="T6" s="73"/>
      <c r="U6" s="73"/>
      <c r="V6" s="73"/>
      <c r="W6" s="4"/>
      <c r="X6" s="4"/>
      <c r="Y6" s="4"/>
      <c r="Z6" s="4"/>
      <c r="AA6" s="4"/>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122" t="s">
        <v>48</v>
      </c>
      <c r="B7" s="122"/>
      <c r="C7" s="122"/>
      <c r="D7" s="122"/>
      <c r="E7" s="315"/>
      <c r="F7" s="316"/>
      <c r="G7" s="316"/>
      <c r="H7" s="316"/>
      <c r="I7" s="316"/>
      <c r="J7" s="317"/>
      <c r="K7" s="111"/>
      <c r="L7" s="315" t="s">
        <v>52</v>
      </c>
      <c r="M7" s="316"/>
      <c r="N7" s="316"/>
      <c r="O7" s="316"/>
      <c r="P7" s="317"/>
      <c r="Q7" s="312" t="s">
        <v>27</v>
      </c>
      <c r="R7" s="312"/>
      <c r="S7" s="312"/>
      <c r="T7" s="312"/>
      <c r="U7" s="312" t="s">
        <v>41</v>
      </c>
      <c r="V7" s="312"/>
      <c r="W7" s="333" t="s">
        <v>10</v>
      </c>
      <c r="X7" s="334"/>
      <c r="Y7" s="334"/>
      <c r="Z7" s="335"/>
      <c r="AA7" s="111"/>
      <c r="AB7" s="312" t="s">
        <v>20</v>
      </c>
      <c r="AC7" s="312"/>
      <c r="AD7" s="312"/>
      <c r="AE7" s="312"/>
      <c r="AF7" s="315" t="s">
        <v>49</v>
      </c>
      <c r="AG7" s="316"/>
      <c r="AH7" s="316"/>
      <c r="AI7" s="317"/>
      <c r="AJ7" s="111"/>
      <c r="AK7" s="315" t="s">
        <v>21</v>
      </c>
      <c r="AL7" s="316"/>
      <c r="AM7" s="316"/>
      <c r="AN7" s="316"/>
      <c r="AO7" s="317"/>
      <c r="AP7" s="328" t="s">
        <v>27</v>
      </c>
      <c r="AQ7" s="329"/>
      <c r="AR7" s="329"/>
      <c r="AS7" s="329"/>
      <c r="AT7" s="329"/>
      <c r="AU7" s="329"/>
      <c r="AV7" s="329"/>
      <c r="AW7" s="329"/>
      <c r="AX7" s="329"/>
      <c r="AY7" s="329"/>
      <c r="AZ7" s="329"/>
      <c r="BA7" s="329"/>
      <c r="BB7" s="330" t="s">
        <v>41</v>
      </c>
      <c r="BC7" s="331"/>
      <c r="BD7" s="331"/>
      <c r="BE7" s="331"/>
      <c r="BF7" s="331"/>
      <c r="BG7" s="331"/>
      <c r="BH7" s="332"/>
      <c r="BI7" s="321"/>
      <c r="BJ7" s="321"/>
      <c r="BK7" s="321"/>
      <c r="BL7" s="321"/>
    </row>
    <row r="8" spans="1:64" ht="30.65" customHeight="1" x14ac:dyDescent="0.35">
      <c r="A8" s="122"/>
      <c r="B8" s="122"/>
      <c r="C8" s="122"/>
      <c r="D8" s="122"/>
      <c r="E8" s="318"/>
      <c r="F8" s="319"/>
      <c r="G8" s="319"/>
      <c r="H8" s="319"/>
      <c r="I8" s="319"/>
      <c r="J8" s="320"/>
      <c r="K8" s="113"/>
      <c r="L8" s="318"/>
      <c r="M8" s="319"/>
      <c r="N8" s="319"/>
      <c r="O8" s="319"/>
      <c r="P8" s="320"/>
      <c r="Q8" s="312"/>
      <c r="R8" s="312"/>
      <c r="S8" s="312"/>
      <c r="T8" s="312"/>
      <c r="U8" s="312"/>
      <c r="V8" s="312"/>
      <c r="W8" s="336"/>
      <c r="X8" s="337"/>
      <c r="Y8" s="337"/>
      <c r="Z8" s="338"/>
      <c r="AA8" s="113"/>
      <c r="AB8" s="312"/>
      <c r="AC8" s="312"/>
      <c r="AD8" s="312"/>
      <c r="AE8" s="312"/>
      <c r="AF8" s="318"/>
      <c r="AG8" s="319"/>
      <c r="AH8" s="319"/>
      <c r="AI8" s="320"/>
      <c r="AJ8" s="113"/>
      <c r="AK8" s="318"/>
      <c r="AL8" s="319"/>
      <c r="AM8" s="319"/>
      <c r="AN8" s="319"/>
      <c r="AO8" s="320"/>
      <c r="AP8" s="325" t="s">
        <v>22</v>
      </c>
      <c r="AQ8" s="326"/>
      <c r="AR8" s="326"/>
      <c r="AS8" s="325" t="s">
        <v>23</v>
      </c>
      <c r="AT8" s="326"/>
      <c r="AU8" s="327"/>
      <c r="AV8" s="325" t="s">
        <v>24</v>
      </c>
      <c r="AW8" s="326"/>
      <c r="AX8" s="327"/>
      <c r="AY8" s="325" t="s">
        <v>25</v>
      </c>
      <c r="AZ8" s="326"/>
      <c r="BA8" s="326"/>
      <c r="BB8" s="318"/>
      <c r="BC8" s="319"/>
      <c r="BD8" s="319"/>
      <c r="BE8" s="319"/>
      <c r="BF8" s="319"/>
      <c r="BG8" s="319"/>
      <c r="BH8" s="320"/>
      <c r="BI8" s="322"/>
      <c r="BJ8" s="322"/>
      <c r="BK8" s="322"/>
      <c r="BL8" s="322"/>
    </row>
    <row r="9" spans="1:64" ht="105.65" customHeight="1" x14ac:dyDescent="0.35">
      <c r="A9" s="114" t="s">
        <v>7</v>
      </c>
      <c r="B9" s="114" t="s">
        <v>8</v>
      </c>
      <c r="C9" s="114" t="s">
        <v>9</v>
      </c>
      <c r="D9" s="115" t="s">
        <v>532</v>
      </c>
      <c r="E9" s="115" t="s">
        <v>50</v>
      </c>
      <c r="F9" s="116" t="s">
        <v>541</v>
      </c>
      <c r="G9" s="116" t="s">
        <v>542</v>
      </c>
      <c r="H9" s="116" t="s">
        <v>14</v>
      </c>
      <c r="I9" s="116" t="s">
        <v>64</v>
      </c>
      <c r="J9" s="116" t="s">
        <v>16</v>
      </c>
      <c r="K9" s="116" t="s">
        <v>543</v>
      </c>
      <c r="L9" s="117" t="s">
        <v>22</v>
      </c>
      <c r="M9" s="117" t="s">
        <v>23</v>
      </c>
      <c r="N9" s="117" t="s">
        <v>24</v>
      </c>
      <c r="O9" s="117" t="s">
        <v>25</v>
      </c>
      <c r="P9" s="118" t="s">
        <v>26</v>
      </c>
      <c r="Q9" s="117" t="s">
        <v>53</v>
      </c>
      <c r="R9" s="117" t="s">
        <v>54</v>
      </c>
      <c r="S9" s="117" t="s">
        <v>43</v>
      </c>
      <c r="T9" s="117" t="s">
        <v>55</v>
      </c>
      <c r="U9" s="117" t="s">
        <v>46</v>
      </c>
      <c r="V9" s="117" t="s">
        <v>51</v>
      </c>
      <c r="W9" s="114" t="s">
        <v>0</v>
      </c>
      <c r="X9" s="114" t="s">
        <v>2</v>
      </c>
      <c r="Y9" s="114" t="s">
        <v>11</v>
      </c>
      <c r="Z9" s="114" t="s">
        <v>12</v>
      </c>
      <c r="AA9" s="117" t="s">
        <v>544</v>
      </c>
      <c r="AB9" s="114" t="s">
        <v>17</v>
      </c>
      <c r="AC9" s="114" t="s">
        <v>6</v>
      </c>
      <c r="AD9" s="116" t="s">
        <v>18</v>
      </c>
      <c r="AE9" s="116" t="s">
        <v>19</v>
      </c>
      <c r="AF9" s="115" t="s">
        <v>13</v>
      </c>
      <c r="AG9" s="116" t="s">
        <v>57</v>
      </c>
      <c r="AH9" s="116" t="s">
        <v>15</v>
      </c>
      <c r="AI9" s="116" t="s">
        <v>58</v>
      </c>
      <c r="AJ9" s="116" t="s">
        <v>545</v>
      </c>
      <c r="AK9" s="119" t="s">
        <v>42</v>
      </c>
      <c r="AL9" s="119" t="s">
        <v>59</v>
      </c>
      <c r="AM9" s="119" t="s">
        <v>60</v>
      </c>
      <c r="AN9" s="119" t="s">
        <v>44</v>
      </c>
      <c r="AO9" s="120" t="s">
        <v>61</v>
      </c>
      <c r="AP9" s="121" t="s">
        <v>28</v>
      </c>
      <c r="AQ9" s="121" t="s">
        <v>29</v>
      </c>
      <c r="AR9" s="121" t="s">
        <v>30</v>
      </c>
      <c r="AS9" s="121" t="s">
        <v>31</v>
      </c>
      <c r="AT9" s="121" t="s">
        <v>32</v>
      </c>
      <c r="AU9" s="121" t="s">
        <v>33</v>
      </c>
      <c r="AV9" s="121" t="s">
        <v>34</v>
      </c>
      <c r="AW9" s="121" t="s">
        <v>35</v>
      </c>
      <c r="AX9" s="121" t="s">
        <v>36</v>
      </c>
      <c r="AY9" s="121" t="s">
        <v>37</v>
      </c>
      <c r="AZ9" s="121" t="s">
        <v>38</v>
      </c>
      <c r="BA9" s="121" t="s">
        <v>39</v>
      </c>
      <c r="BB9" s="117" t="s">
        <v>40</v>
      </c>
      <c r="BC9" s="117" t="s">
        <v>45</v>
      </c>
      <c r="BD9" s="117" t="s">
        <v>528</v>
      </c>
      <c r="BE9" s="117" t="s">
        <v>527</v>
      </c>
      <c r="BF9" s="117" t="s">
        <v>529</v>
      </c>
      <c r="BG9" s="117" t="s">
        <v>524</v>
      </c>
      <c r="BH9" s="117" t="s">
        <v>525</v>
      </c>
      <c r="BI9" s="117" t="s">
        <v>504</v>
      </c>
      <c r="BJ9" s="117" t="s">
        <v>512</v>
      </c>
      <c r="BK9" s="117" t="s">
        <v>3</v>
      </c>
      <c r="BL9" s="117" t="s">
        <v>56</v>
      </c>
    </row>
    <row r="10" spans="1:64" ht="105.65" customHeight="1" x14ac:dyDescent="0.35">
      <c r="A10" s="46" t="s">
        <v>62</v>
      </c>
      <c r="B10" s="41" t="s">
        <v>63</v>
      </c>
      <c r="C10" s="41" t="s">
        <v>68</v>
      </c>
      <c r="D10" s="17">
        <v>1</v>
      </c>
      <c r="E10" s="41" t="s">
        <v>186</v>
      </c>
      <c r="F10" s="12">
        <v>0.21</v>
      </c>
      <c r="G10" s="37" t="s">
        <v>65</v>
      </c>
      <c r="H10" s="8" t="s">
        <v>187</v>
      </c>
      <c r="I10" s="57">
        <v>4</v>
      </c>
      <c r="J10" s="8" t="s">
        <v>188</v>
      </c>
      <c r="K10" s="37" t="s">
        <v>65</v>
      </c>
      <c r="L10" s="8">
        <v>1</v>
      </c>
      <c r="M10" s="8">
        <v>1</v>
      </c>
      <c r="N10" s="8">
        <v>1</v>
      </c>
      <c r="O10" s="8">
        <v>1</v>
      </c>
      <c r="P10" s="8">
        <f>SUM(Tabla143[[#This Row],[TRIM I]:[TRIM IV]])</f>
        <v>4</v>
      </c>
      <c r="Q10" s="8">
        <v>1</v>
      </c>
      <c r="R10" s="19">
        <v>1</v>
      </c>
      <c r="S10" s="19"/>
      <c r="T10" s="19"/>
      <c r="U10" s="8">
        <f>SUM(Tabla143[[#This Row],[TRIM I    ]:[TRIM IV    ]])</f>
        <v>2</v>
      </c>
      <c r="V10" s="17">
        <f>IFERROR(IF(P10=0,"",IF((U10/P10)&gt;100%,100%,(U10/P10))),"")</f>
        <v>0.5</v>
      </c>
      <c r="W10" s="41" t="s">
        <v>69</v>
      </c>
      <c r="X10" s="32" t="s">
        <v>70</v>
      </c>
      <c r="Y10" s="30" t="s">
        <v>189</v>
      </c>
      <c r="Z10" s="54" t="s">
        <v>190</v>
      </c>
      <c r="AA10" s="81">
        <v>0.23</v>
      </c>
      <c r="AB10" s="41" t="s">
        <v>432</v>
      </c>
      <c r="AC10" s="41" t="s">
        <v>417</v>
      </c>
      <c r="AD10" s="49">
        <v>44928</v>
      </c>
      <c r="AE10" s="49">
        <v>45289</v>
      </c>
      <c r="AF10" s="41" t="s">
        <v>191</v>
      </c>
      <c r="AG10" s="8" t="s">
        <v>192</v>
      </c>
      <c r="AH10" s="8">
        <v>2</v>
      </c>
      <c r="AI10" s="8" t="s">
        <v>87</v>
      </c>
      <c r="AJ10" s="37" t="s">
        <v>65</v>
      </c>
      <c r="AK10" s="8"/>
      <c r="AL10" s="8">
        <v>1</v>
      </c>
      <c r="AM10" s="8"/>
      <c r="AN10" s="8">
        <v>1</v>
      </c>
      <c r="AO10" s="53">
        <f>SUM(Tabla143[[#This Row],[TRIM I   ]:[TRIM IV     ]])</f>
        <v>2</v>
      </c>
      <c r="AP10" s="53"/>
      <c r="AQ10" s="53"/>
      <c r="AR10" s="53"/>
      <c r="AS10" s="23"/>
      <c r="AT10" s="23"/>
      <c r="AU10" s="23">
        <v>1</v>
      </c>
      <c r="AV10" s="23"/>
      <c r="AW10" s="23"/>
      <c r="AX10" s="23"/>
      <c r="AY10" s="23"/>
      <c r="AZ10" s="23"/>
      <c r="BA10" s="23"/>
      <c r="BB10" s="8">
        <f>SUM(Tabla143[[#This Row],[Enero ]:[Dic]])</f>
        <v>1</v>
      </c>
      <c r="BC10" s="17">
        <f>IFERROR(IF(AO10=0,"",IF((BB10/AO10)&gt;100%,100%,(BB10/AO10))),"")</f>
        <v>0.5</v>
      </c>
      <c r="BD10" s="17">
        <f>IFERROR(BC10*AA10,"")</f>
        <v>0.115</v>
      </c>
      <c r="BE10" s="74">
        <f>BD16*Tabla143[[#This Row],[Peso porcentual de la Meta de Objetivo]]</f>
        <v>0.1295</v>
      </c>
      <c r="BF10" s="74">
        <f>(Tabla143[[#This Row],[Avance ponderado frente a la meta de objetivo]]+BE17+BE19+BE25+BE31+BE35+BE38+BE43)*Tabla143[[#This Row],[Peso Porcentual del Objetivo Estratégico]]</f>
        <v>0.42195250000000001</v>
      </c>
      <c r="BG10" s="74">
        <v>1</v>
      </c>
      <c r="BH10" s="74">
        <v>1</v>
      </c>
      <c r="BI10" s="8" t="s">
        <v>505</v>
      </c>
      <c r="BJ10" s="8" t="s">
        <v>92</v>
      </c>
      <c r="BK10" s="8" t="s">
        <v>185</v>
      </c>
      <c r="BL10" s="8" t="s">
        <v>93</v>
      </c>
    </row>
    <row r="11" spans="1:64" ht="105.65" customHeight="1" x14ac:dyDescent="0.35">
      <c r="A11" s="46" t="s">
        <v>62</v>
      </c>
      <c r="B11" s="41" t="s">
        <v>63</v>
      </c>
      <c r="C11" s="41" t="s">
        <v>68</v>
      </c>
      <c r="D11" s="35"/>
      <c r="E11" s="41" t="s">
        <v>186</v>
      </c>
      <c r="H11" s="35"/>
      <c r="I11" s="35"/>
      <c r="J11" s="35"/>
      <c r="K11" s="35"/>
      <c r="L11" s="35"/>
      <c r="M11" s="35"/>
      <c r="N11" s="35"/>
      <c r="O11" s="35"/>
      <c r="P11" s="35"/>
      <c r="Q11" s="34"/>
      <c r="R11" s="21"/>
      <c r="S11" s="21"/>
      <c r="T11" s="21"/>
      <c r="U11" s="34"/>
      <c r="V11" s="33" t="str">
        <f t="shared" ref="V11:V46" si="0">IFERROR(IF(P11=0,"",IF((U11/P11)&gt;100%,100%,(U11/P11))),"")</f>
        <v/>
      </c>
      <c r="W11" s="41" t="s">
        <v>69</v>
      </c>
      <c r="X11" s="32" t="s">
        <v>70</v>
      </c>
      <c r="Y11" s="30" t="s">
        <v>189</v>
      </c>
      <c r="Z11" s="54" t="s">
        <v>190</v>
      </c>
      <c r="AA11" s="81">
        <v>0.23</v>
      </c>
      <c r="AB11" s="41" t="s">
        <v>433</v>
      </c>
      <c r="AC11" s="41" t="s">
        <v>418</v>
      </c>
      <c r="AD11" s="49">
        <v>44928</v>
      </c>
      <c r="AE11" s="49">
        <v>45289</v>
      </c>
      <c r="AF11" s="41" t="s">
        <v>193</v>
      </c>
      <c r="AG11" s="8" t="s">
        <v>194</v>
      </c>
      <c r="AH11" s="8">
        <v>2</v>
      </c>
      <c r="AI11" s="8" t="s">
        <v>87</v>
      </c>
      <c r="AJ11" s="37" t="s">
        <v>65</v>
      </c>
      <c r="AK11" s="8"/>
      <c r="AL11" s="8">
        <v>1</v>
      </c>
      <c r="AM11" s="8"/>
      <c r="AN11" s="8">
        <v>1</v>
      </c>
      <c r="AO11" s="53">
        <f>SUM(Tabla143[[#This Row],[TRIM I   ]:[TRIM IV     ]])</f>
        <v>2</v>
      </c>
      <c r="AP11" s="53"/>
      <c r="AQ11" s="53"/>
      <c r="AR11" s="53"/>
      <c r="AS11" s="23"/>
      <c r="AT11" s="23"/>
      <c r="AU11" s="23">
        <v>1</v>
      </c>
      <c r="AV11" s="23"/>
      <c r="AW11" s="23"/>
      <c r="AX11" s="23"/>
      <c r="AY11" s="23"/>
      <c r="AZ11" s="23"/>
      <c r="BA11" s="23"/>
      <c r="BB11" s="8">
        <f>SUM(Tabla143[[#This Row],[Enero ]:[Dic]])</f>
        <v>1</v>
      </c>
      <c r="BC11" s="17">
        <f t="shared" ref="BC11:BC17" si="1">IFERROR(IF(AO11=0,"",IF((BB11/AO11)&gt;100%,100%,(BB11/AO11))),"")</f>
        <v>0.5</v>
      </c>
      <c r="BD11" s="17">
        <f t="shared" ref="BD11:BD15" si="2">IFERROR(BC11*AA11,"")</f>
        <v>0.115</v>
      </c>
      <c r="BE11" s="74"/>
      <c r="BF11" s="74"/>
      <c r="BG11" s="74"/>
      <c r="BH11" s="74">
        <v>1</v>
      </c>
      <c r="BI11" s="8" t="s">
        <v>505</v>
      </c>
      <c r="BJ11" s="8" t="s">
        <v>92</v>
      </c>
      <c r="BK11" s="8" t="s">
        <v>185</v>
      </c>
      <c r="BL11" s="8" t="s">
        <v>93</v>
      </c>
    </row>
    <row r="12" spans="1:64" ht="105.65" customHeight="1" x14ac:dyDescent="0.35">
      <c r="A12" s="46" t="s">
        <v>62</v>
      </c>
      <c r="B12" s="41" t="s">
        <v>63</v>
      </c>
      <c r="C12" s="41" t="s">
        <v>68</v>
      </c>
      <c r="D12" s="35"/>
      <c r="E12" s="41" t="s">
        <v>186</v>
      </c>
      <c r="H12" s="35"/>
      <c r="I12" s="35"/>
      <c r="J12" s="35"/>
      <c r="K12" s="35"/>
      <c r="L12" s="35"/>
      <c r="M12" s="35"/>
      <c r="N12" s="35"/>
      <c r="O12" s="35"/>
      <c r="P12" s="35"/>
      <c r="Q12" s="34"/>
      <c r="R12" s="21"/>
      <c r="S12" s="21"/>
      <c r="T12" s="21"/>
      <c r="U12" s="34"/>
      <c r="V12" s="33" t="str">
        <f t="shared" si="0"/>
        <v/>
      </c>
      <c r="W12" s="41" t="s">
        <v>69</v>
      </c>
      <c r="X12" s="32" t="s">
        <v>70</v>
      </c>
      <c r="Y12" s="30" t="s">
        <v>189</v>
      </c>
      <c r="Z12" s="54" t="s">
        <v>195</v>
      </c>
      <c r="AA12" s="81">
        <v>0.16</v>
      </c>
      <c r="AB12" s="41" t="s">
        <v>196</v>
      </c>
      <c r="AC12" s="41" t="s">
        <v>197</v>
      </c>
      <c r="AD12" s="49">
        <v>44928</v>
      </c>
      <c r="AE12" s="49">
        <v>44957</v>
      </c>
      <c r="AF12" s="41" t="s">
        <v>198</v>
      </c>
      <c r="AG12" s="8" t="s">
        <v>199</v>
      </c>
      <c r="AH12" s="8">
        <v>1</v>
      </c>
      <c r="AI12" s="8" t="s">
        <v>200</v>
      </c>
      <c r="AJ12" s="37" t="s">
        <v>65</v>
      </c>
      <c r="AK12" s="8">
        <v>1</v>
      </c>
      <c r="AL12" s="8"/>
      <c r="AM12" s="8"/>
      <c r="AN12" s="8"/>
      <c r="AO12" s="53">
        <f>SUM(Tabla143[[#This Row],[TRIM I   ]:[TRIM IV     ]])</f>
        <v>1</v>
      </c>
      <c r="AP12" s="53">
        <v>1</v>
      </c>
      <c r="AQ12" s="53"/>
      <c r="AR12" s="53"/>
      <c r="AS12" s="23"/>
      <c r="AT12" s="23"/>
      <c r="AU12" s="23"/>
      <c r="AV12" s="23"/>
      <c r="AW12" s="23"/>
      <c r="AX12" s="23"/>
      <c r="AY12" s="23"/>
      <c r="AZ12" s="23"/>
      <c r="BA12" s="23"/>
      <c r="BB12" s="8">
        <f>SUM(Tabla143[[#This Row],[Enero ]:[Dic]])</f>
        <v>1</v>
      </c>
      <c r="BC12" s="17">
        <f t="shared" si="1"/>
        <v>1</v>
      </c>
      <c r="BD12" s="17">
        <f t="shared" si="2"/>
        <v>0.16</v>
      </c>
      <c r="BE12" s="74"/>
      <c r="BF12" s="74"/>
      <c r="BG12" s="74"/>
      <c r="BH12" s="74"/>
      <c r="BI12" s="8" t="s">
        <v>505</v>
      </c>
      <c r="BJ12" s="8" t="s">
        <v>92</v>
      </c>
      <c r="BK12" s="8" t="s">
        <v>185</v>
      </c>
      <c r="BL12" s="8" t="s">
        <v>93</v>
      </c>
    </row>
    <row r="13" spans="1:64" ht="105.65" customHeight="1" x14ac:dyDescent="0.35">
      <c r="A13" s="46" t="s">
        <v>62</v>
      </c>
      <c r="B13" s="41" t="s">
        <v>63</v>
      </c>
      <c r="C13" s="41" t="s">
        <v>68</v>
      </c>
      <c r="D13" s="35"/>
      <c r="E13" s="41" t="s">
        <v>186</v>
      </c>
      <c r="H13" s="35"/>
      <c r="I13" s="35"/>
      <c r="J13" s="35"/>
      <c r="K13" s="35"/>
      <c r="L13" s="35"/>
      <c r="M13" s="35"/>
      <c r="N13" s="35"/>
      <c r="O13" s="35"/>
      <c r="P13" s="35"/>
      <c r="Q13" s="34"/>
      <c r="R13" s="21"/>
      <c r="S13" s="21"/>
      <c r="T13" s="21"/>
      <c r="U13" s="34"/>
      <c r="V13" s="33" t="str">
        <f t="shared" si="0"/>
        <v/>
      </c>
      <c r="W13" s="41" t="s">
        <v>69</v>
      </c>
      <c r="X13" s="32" t="s">
        <v>70</v>
      </c>
      <c r="Y13" s="30" t="s">
        <v>189</v>
      </c>
      <c r="Z13" s="5" t="s">
        <v>195</v>
      </c>
      <c r="AA13" s="81">
        <v>0.16</v>
      </c>
      <c r="AB13" s="41" t="s">
        <v>201</v>
      </c>
      <c r="AC13" s="41" t="s">
        <v>202</v>
      </c>
      <c r="AD13" s="49">
        <v>44928</v>
      </c>
      <c r="AE13" s="49">
        <v>45289</v>
      </c>
      <c r="AF13" s="41" t="s">
        <v>203</v>
      </c>
      <c r="AG13" s="8" t="s">
        <v>204</v>
      </c>
      <c r="AH13" s="8">
        <v>2</v>
      </c>
      <c r="AI13" s="8" t="s">
        <v>87</v>
      </c>
      <c r="AJ13" s="37" t="s">
        <v>65</v>
      </c>
      <c r="AK13" s="8"/>
      <c r="AL13" s="8">
        <v>1</v>
      </c>
      <c r="AM13" s="8"/>
      <c r="AN13" s="8">
        <v>1</v>
      </c>
      <c r="AO13" s="53">
        <f>SUM(Tabla143[[#This Row],[TRIM I   ]:[TRIM IV     ]])</f>
        <v>2</v>
      </c>
      <c r="AP13" s="53"/>
      <c r="AQ13" s="53"/>
      <c r="AR13" s="53"/>
      <c r="AS13" s="23"/>
      <c r="AT13" s="23"/>
      <c r="AU13" s="23">
        <v>1</v>
      </c>
      <c r="AV13" s="23"/>
      <c r="AW13" s="23"/>
      <c r="AX13" s="23"/>
      <c r="AY13" s="23"/>
      <c r="AZ13" s="23"/>
      <c r="BA13" s="23"/>
      <c r="BB13" s="8">
        <f>SUM(Tabla143[[#This Row],[Enero ]:[Dic]])</f>
        <v>1</v>
      </c>
      <c r="BC13" s="17">
        <f t="shared" si="1"/>
        <v>0.5</v>
      </c>
      <c r="BD13" s="17">
        <f t="shared" si="2"/>
        <v>0.08</v>
      </c>
      <c r="BE13" s="74"/>
      <c r="BF13" s="74"/>
      <c r="BG13" s="74"/>
      <c r="BH13" s="74">
        <v>1</v>
      </c>
      <c r="BI13" s="8" t="s">
        <v>505</v>
      </c>
      <c r="BJ13" s="8" t="s">
        <v>92</v>
      </c>
      <c r="BK13" s="8" t="s">
        <v>185</v>
      </c>
      <c r="BL13" s="8" t="s">
        <v>93</v>
      </c>
    </row>
    <row r="14" spans="1:64" ht="105.65" customHeight="1" x14ac:dyDescent="0.35">
      <c r="A14" s="46" t="s">
        <v>62</v>
      </c>
      <c r="B14" s="41" t="s">
        <v>63</v>
      </c>
      <c r="C14" s="41" t="s">
        <v>68</v>
      </c>
      <c r="D14" s="35"/>
      <c r="E14" s="41" t="s">
        <v>186</v>
      </c>
      <c r="H14" s="35"/>
      <c r="I14" s="35"/>
      <c r="J14" s="35"/>
      <c r="K14" s="35"/>
      <c r="L14" s="35"/>
      <c r="M14" s="35"/>
      <c r="N14" s="35"/>
      <c r="O14" s="35"/>
      <c r="P14" s="35"/>
      <c r="Q14" s="34"/>
      <c r="R14" s="21"/>
      <c r="S14" s="21"/>
      <c r="T14" s="21"/>
      <c r="U14" s="34"/>
      <c r="V14" s="33" t="str">
        <f t="shared" si="0"/>
        <v/>
      </c>
      <c r="W14" s="41" t="s">
        <v>69</v>
      </c>
      <c r="X14" s="32" t="s">
        <v>70</v>
      </c>
      <c r="Y14" s="30" t="s">
        <v>189</v>
      </c>
      <c r="Z14" s="41" t="s">
        <v>205</v>
      </c>
      <c r="AA14" s="79">
        <v>0.11</v>
      </c>
      <c r="AB14" s="41" t="s">
        <v>419</v>
      </c>
      <c r="AC14" s="41" t="s">
        <v>502</v>
      </c>
      <c r="AD14" s="49">
        <v>44958</v>
      </c>
      <c r="AE14" s="49">
        <v>45077</v>
      </c>
      <c r="AF14" s="41" t="s">
        <v>503</v>
      </c>
      <c r="AG14" s="8" t="s">
        <v>86</v>
      </c>
      <c r="AH14" s="8">
        <v>1</v>
      </c>
      <c r="AI14" s="8" t="s">
        <v>87</v>
      </c>
      <c r="AJ14" s="37" t="s">
        <v>65</v>
      </c>
      <c r="AK14" s="8"/>
      <c r="AL14" s="8">
        <v>1</v>
      </c>
      <c r="AM14" s="8"/>
      <c r="AN14" s="8"/>
      <c r="AO14" s="53">
        <f>SUM(Tabla143[[#This Row],[TRIM I   ]:[TRIM IV     ]])</f>
        <v>1</v>
      </c>
      <c r="AP14" s="53"/>
      <c r="AQ14" s="53"/>
      <c r="AR14" s="53"/>
      <c r="AS14" s="23"/>
      <c r="AT14" s="23"/>
      <c r="AU14" s="23">
        <v>1</v>
      </c>
      <c r="AV14" s="23"/>
      <c r="AW14" s="23"/>
      <c r="AX14" s="23"/>
      <c r="AY14" s="23"/>
      <c r="AZ14" s="23"/>
      <c r="BA14" s="23"/>
      <c r="BB14" s="8">
        <f>SUM(Tabla143[[#This Row],[Enero ]:[Dic]])</f>
        <v>1</v>
      </c>
      <c r="BC14" s="17">
        <f t="shared" si="1"/>
        <v>1</v>
      </c>
      <c r="BD14" s="17">
        <f t="shared" si="2"/>
        <v>0.11</v>
      </c>
      <c r="BE14" s="74"/>
      <c r="BF14" s="74"/>
      <c r="BG14" s="74"/>
      <c r="BH14" s="74">
        <v>1</v>
      </c>
      <c r="BI14" s="8" t="s">
        <v>505</v>
      </c>
      <c r="BJ14" s="8" t="s">
        <v>92</v>
      </c>
      <c r="BK14" s="8" t="s">
        <v>185</v>
      </c>
      <c r="BL14" s="8" t="s">
        <v>93</v>
      </c>
    </row>
    <row r="15" spans="1:64" ht="105.65" customHeight="1" x14ac:dyDescent="0.35">
      <c r="A15" s="46" t="s">
        <v>62</v>
      </c>
      <c r="B15" s="41" t="s">
        <v>63</v>
      </c>
      <c r="C15" s="41" t="s">
        <v>68</v>
      </c>
      <c r="D15" s="35"/>
      <c r="E15" s="41" t="s">
        <v>186</v>
      </c>
      <c r="H15" s="35"/>
      <c r="I15" s="35"/>
      <c r="J15" s="35"/>
      <c r="K15" s="35"/>
      <c r="L15" s="35"/>
      <c r="M15" s="35"/>
      <c r="N15" s="35"/>
      <c r="O15" s="35"/>
      <c r="P15" s="35"/>
      <c r="Q15" s="34"/>
      <c r="R15" s="21"/>
      <c r="S15" s="21"/>
      <c r="T15" s="21"/>
      <c r="U15" s="34"/>
      <c r="V15" s="33" t="str">
        <f t="shared" si="0"/>
        <v/>
      </c>
      <c r="W15" s="41" t="s">
        <v>69</v>
      </c>
      <c r="X15" s="32" t="s">
        <v>70</v>
      </c>
      <c r="Y15" s="30" t="s">
        <v>189</v>
      </c>
      <c r="Z15" s="5" t="s">
        <v>27</v>
      </c>
      <c r="AA15" s="79">
        <v>0.11</v>
      </c>
      <c r="AB15" s="41" t="s">
        <v>206</v>
      </c>
      <c r="AC15" s="31" t="s">
        <v>420</v>
      </c>
      <c r="AD15" s="49">
        <v>44928</v>
      </c>
      <c r="AE15" s="49">
        <v>45289</v>
      </c>
      <c r="AF15" s="41" t="s">
        <v>207</v>
      </c>
      <c r="AG15" s="8" t="s">
        <v>208</v>
      </c>
      <c r="AH15" s="8">
        <v>3</v>
      </c>
      <c r="AI15" s="8" t="s">
        <v>87</v>
      </c>
      <c r="AJ15" s="37" t="s">
        <v>65</v>
      </c>
      <c r="AK15" s="8"/>
      <c r="AL15" s="8">
        <v>1</v>
      </c>
      <c r="AM15" s="8">
        <v>1</v>
      </c>
      <c r="AN15" s="8">
        <v>1</v>
      </c>
      <c r="AO15" s="53">
        <f>SUM(Tabla143[[#This Row],[TRIM I   ]:[TRIM IV     ]])</f>
        <v>3</v>
      </c>
      <c r="AP15" s="53"/>
      <c r="AQ15" s="53"/>
      <c r="AR15" s="53"/>
      <c r="AS15" s="23"/>
      <c r="AT15" s="23"/>
      <c r="AU15" s="23">
        <v>1</v>
      </c>
      <c r="AV15" s="23"/>
      <c r="AW15" s="23"/>
      <c r="AX15" s="23"/>
      <c r="AY15" s="23"/>
      <c r="AZ15" s="23"/>
      <c r="BA15" s="23"/>
      <c r="BB15" s="8">
        <f>SUM(Tabla143[[#This Row],[Enero ]:[Dic]])</f>
        <v>1</v>
      </c>
      <c r="BC15" s="17">
        <f t="shared" si="1"/>
        <v>0.33333333333333331</v>
      </c>
      <c r="BD15" s="17">
        <f t="shared" si="2"/>
        <v>3.6666666666666667E-2</v>
      </c>
      <c r="BE15" s="74"/>
      <c r="BF15" s="74"/>
      <c r="BG15" s="74"/>
      <c r="BH15" s="74">
        <v>1</v>
      </c>
      <c r="BI15" s="8" t="s">
        <v>505</v>
      </c>
      <c r="BJ15" s="8" t="s">
        <v>92</v>
      </c>
      <c r="BK15" s="8" t="s">
        <v>185</v>
      </c>
      <c r="BL15" s="8" t="s">
        <v>93</v>
      </c>
    </row>
    <row r="16" spans="1:64" x14ac:dyDescent="0.35">
      <c r="A16" s="138"/>
      <c r="B16" s="127"/>
      <c r="C16" s="127"/>
      <c r="D16" s="128"/>
      <c r="E16" s="127"/>
      <c r="F16" s="127"/>
      <c r="G16" s="127"/>
      <c r="H16" s="128"/>
      <c r="I16" s="128"/>
      <c r="J16" s="128"/>
      <c r="K16" s="128"/>
      <c r="L16" s="128"/>
      <c r="M16" s="128"/>
      <c r="N16" s="128"/>
      <c r="O16" s="128"/>
      <c r="P16" s="128"/>
      <c r="Q16" s="129"/>
      <c r="R16" s="130"/>
      <c r="S16" s="130"/>
      <c r="T16" s="130"/>
      <c r="U16" s="129"/>
      <c r="V16" s="131"/>
      <c r="W16" s="127"/>
      <c r="X16" s="127"/>
      <c r="Y16" s="127"/>
      <c r="Z16" s="127"/>
      <c r="AA16" s="127"/>
      <c r="AB16" s="127"/>
      <c r="AC16" s="127"/>
      <c r="AD16" s="139"/>
      <c r="AE16" s="140"/>
      <c r="AF16" s="127"/>
      <c r="AG16" s="128"/>
      <c r="AH16" s="128"/>
      <c r="AI16" s="128"/>
      <c r="AJ16" s="128"/>
      <c r="AK16" s="128"/>
      <c r="AL16" s="128"/>
      <c r="AM16" s="128"/>
      <c r="AN16" s="128"/>
      <c r="AO16" s="128"/>
      <c r="AP16" s="127"/>
      <c r="AQ16" s="127"/>
      <c r="AR16" s="127"/>
      <c r="AS16" s="141"/>
      <c r="AT16" s="141"/>
      <c r="AU16" s="141"/>
      <c r="AV16" s="141"/>
      <c r="AW16" s="141"/>
      <c r="AX16" s="141"/>
      <c r="AY16" s="141"/>
      <c r="AZ16" s="141"/>
      <c r="BA16" s="141"/>
      <c r="BB16" s="127"/>
      <c r="BC16" s="142"/>
      <c r="BD16" s="136">
        <f>SUM(BD10:BD15)</f>
        <v>0.6166666666666667</v>
      </c>
      <c r="BE16" s="136"/>
      <c r="BF16" s="136"/>
      <c r="BG16" s="136"/>
      <c r="BH16" s="136"/>
      <c r="BI16" s="137"/>
      <c r="BJ16" s="137"/>
      <c r="BK16" s="137"/>
      <c r="BL16" s="137"/>
    </row>
    <row r="17" spans="1:64" ht="105.65" customHeight="1" x14ac:dyDescent="0.35">
      <c r="A17" s="46" t="s">
        <v>62</v>
      </c>
      <c r="B17" s="41" t="s">
        <v>63</v>
      </c>
      <c r="C17" s="41" t="s">
        <v>68</v>
      </c>
      <c r="D17" s="8"/>
      <c r="E17" s="41" t="s">
        <v>209</v>
      </c>
      <c r="F17" s="12">
        <v>0.03</v>
      </c>
      <c r="G17" s="37" t="s">
        <v>65</v>
      </c>
      <c r="H17" s="8" t="s">
        <v>421</v>
      </c>
      <c r="I17" s="8">
        <v>3</v>
      </c>
      <c r="J17" s="8" t="s">
        <v>87</v>
      </c>
      <c r="K17" s="37" t="s">
        <v>65</v>
      </c>
      <c r="L17" s="8">
        <v>1</v>
      </c>
      <c r="M17" s="8">
        <v>1</v>
      </c>
      <c r="N17" s="8">
        <v>1</v>
      </c>
      <c r="O17" s="8"/>
      <c r="P17" s="8">
        <f>SUM(Tabla143[[#This Row],[TRIM I]:[TRIM IV]])</f>
        <v>3</v>
      </c>
      <c r="Q17" s="8">
        <v>1</v>
      </c>
      <c r="R17" s="19">
        <v>1</v>
      </c>
      <c r="S17" s="19"/>
      <c r="T17" s="19"/>
      <c r="U17" s="8">
        <f>SUM(Tabla143[[#This Row],[TRIM I    ]:[TRIM IV    ]])</f>
        <v>2</v>
      </c>
      <c r="V17" s="17">
        <f>IFERROR(IF(P17=0,"",IF((U17/P17)&gt;100%,100%,(U17/P17))),"")</f>
        <v>0.66666666666666663</v>
      </c>
      <c r="W17" s="41" t="s">
        <v>210</v>
      </c>
      <c r="X17" s="41" t="s">
        <v>70</v>
      </c>
      <c r="Y17" s="48" t="s">
        <v>189</v>
      </c>
      <c r="Z17" s="5" t="s">
        <v>27</v>
      </c>
      <c r="AA17" s="81">
        <v>1</v>
      </c>
      <c r="AB17" s="41" t="s">
        <v>211</v>
      </c>
      <c r="AC17" s="41" t="s">
        <v>212</v>
      </c>
      <c r="AD17" s="49">
        <v>44956</v>
      </c>
      <c r="AE17" s="50">
        <v>45198</v>
      </c>
      <c r="AF17" s="41" t="s">
        <v>213</v>
      </c>
      <c r="AG17" s="8" t="s">
        <v>214</v>
      </c>
      <c r="AH17" s="8">
        <v>3</v>
      </c>
      <c r="AI17" s="8" t="s">
        <v>87</v>
      </c>
      <c r="AJ17" s="37" t="s">
        <v>65</v>
      </c>
      <c r="AK17" s="8">
        <v>1</v>
      </c>
      <c r="AL17" s="8">
        <v>1</v>
      </c>
      <c r="AM17" s="8">
        <v>1</v>
      </c>
      <c r="AN17" s="8"/>
      <c r="AO17" s="53">
        <f>SUM(Tabla143[[#This Row],[TRIM I   ]:[TRIM IV     ]])</f>
        <v>3</v>
      </c>
      <c r="AP17" s="53">
        <v>1</v>
      </c>
      <c r="AQ17" s="53"/>
      <c r="AR17" s="53"/>
      <c r="AS17" s="23"/>
      <c r="AT17" s="23">
        <v>1</v>
      </c>
      <c r="AU17" s="23"/>
      <c r="AV17" s="23"/>
      <c r="AW17" s="23"/>
      <c r="AX17" s="23"/>
      <c r="AY17" s="23"/>
      <c r="AZ17" s="23"/>
      <c r="BA17" s="23"/>
      <c r="BB17" s="8">
        <f>SUM(Tabla143[[#This Row],[Enero ]:[Dic]])</f>
        <v>2</v>
      </c>
      <c r="BC17" s="17">
        <f t="shared" si="1"/>
        <v>0.66666666666666663</v>
      </c>
      <c r="BD17" s="17">
        <f>IFERROR(BC17*AA17,"")</f>
        <v>0.66666666666666663</v>
      </c>
      <c r="BE17" s="74">
        <f>BD18*Tabla143[[#This Row],[Peso porcentual de la Meta de Objetivo]]</f>
        <v>1.9999999999999997E-2</v>
      </c>
      <c r="BF17" s="74"/>
      <c r="BG17" s="74">
        <v>1</v>
      </c>
      <c r="BH17" s="74">
        <v>1</v>
      </c>
      <c r="BI17" s="8" t="s">
        <v>505</v>
      </c>
      <c r="BJ17" s="8" t="s">
        <v>215</v>
      </c>
      <c r="BK17" s="8" t="s">
        <v>216</v>
      </c>
      <c r="BL17" s="8" t="s">
        <v>217</v>
      </c>
    </row>
    <row r="18" spans="1:64" x14ac:dyDescent="0.35">
      <c r="A18" s="138"/>
      <c r="B18" s="127"/>
      <c r="C18" s="127"/>
      <c r="D18" s="128"/>
      <c r="E18" s="127"/>
      <c r="F18" s="127"/>
      <c r="G18" s="127"/>
      <c r="H18" s="128"/>
      <c r="I18" s="128"/>
      <c r="J18" s="128"/>
      <c r="K18" s="128"/>
      <c r="L18" s="128"/>
      <c r="M18" s="128"/>
      <c r="N18" s="128"/>
      <c r="O18" s="128"/>
      <c r="P18" s="128"/>
      <c r="Q18" s="129"/>
      <c r="R18" s="130"/>
      <c r="S18" s="130"/>
      <c r="T18" s="130"/>
      <c r="U18" s="129"/>
      <c r="V18" s="131"/>
      <c r="W18" s="127"/>
      <c r="X18" s="127"/>
      <c r="Y18" s="127"/>
      <c r="Z18" s="127"/>
      <c r="AA18" s="127"/>
      <c r="AB18" s="127"/>
      <c r="AC18" s="127"/>
      <c r="AD18" s="139"/>
      <c r="AE18" s="140"/>
      <c r="AF18" s="127"/>
      <c r="AG18" s="128"/>
      <c r="AH18" s="128"/>
      <c r="AI18" s="128"/>
      <c r="AJ18" s="128"/>
      <c r="AK18" s="128"/>
      <c r="AL18" s="128"/>
      <c r="AM18" s="128"/>
      <c r="AN18" s="128"/>
      <c r="AO18" s="128"/>
      <c r="AP18" s="127"/>
      <c r="AQ18" s="127"/>
      <c r="AR18" s="127"/>
      <c r="AS18" s="141"/>
      <c r="AT18" s="141"/>
      <c r="AU18" s="141"/>
      <c r="AV18" s="141"/>
      <c r="AW18" s="141"/>
      <c r="AX18" s="141"/>
      <c r="AY18" s="141"/>
      <c r="AZ18" s="141"/>
      <c r="BA18" s="141"/>
      <c r="BB18" s="127"/>
      <c r="BC18" s="142"/>
      <c r="BD18" s="136">
        <f>+BD17</f>
        <v>0.66666666666666663</v>
      </c>
      <c r="BE18" s="136"/>
      <c r="BF18" s="136"/>
      <c r="BG18" s="136"/>
      <c r="BH18" s="136"/>
      <c r="BI18" s="137"/>
      <c r="BJ18" s="137"/>
      <c r="BK18" s="137"/>
      <c r="BL18" s="137"/>
    </row>
    <row r="19" spans="1:64" ht="105.65" customHeight="1" x14ac:dyDescent="0.35">
      <c r="A19" s="41" t="s">
        <v>62</v>
      </c>
      <c r="B19" s="41" t="s">
        <v>63</v>
      </c>
      <c r="C19" s="41" t="s">
        <v>68</v>
      </c>
      <c r="D19" s="8"/>
      <c r="E19" s="41" t="s">
        <v>218</v>
      </c>
      <c r="F19" s="37">
        <v>0.18</v>
      </c>
      <c r="G19" s="37" t="s">
        <v>65</v>
      </c>
      <c r="H19" s="8" t="s">
        <v>219</v>
      </c>
      <c r="I19" s="8">
        <v>4</v>
      </c>
      <c r="J19" s="8" t="s">
        <v>220</v>
      </c>
      <c r="K19" s="37" t="s">
        <v>65</v>
      </c>
      <c r="L19" s="8">
        <v>1</v>
      </c>
      <c r="M19" s="8">
        <v>1</v>
      </c>
      <c r="N19" s="8">
        <v>1</v>
      </c>
      <c r="O19" s="8">
        <v>1</v>
      </c>
      <c r="P19" s="8">
        <f>SUM(Tabla143[[#This Row],[TRIM I]:[TRIM IV]])</f>
        <v>4</v>
      </c>
      <c r="Q19" s="8">
        <v>1</v>
      </c>
      <c r="R19" s="19">
        <v>1</v>
      </c>
      <c r="S19" s="19"/>
      <c r="T19" s="19"/>
      <c r="U19" s="8">
        <f>SUM(Tabla143[[#This Row],[TRIM I    ]:[TRIM IV    ]])</f>
        <v>2</v>
      </c>
      <c r="V19" s="17">
        <f>IFERROR(IF(P19=0,"",IF((U19/P19)&gt;100%,100%,(U19/P19))),"")</f>
        <v>0.5</v>
      </c>
      <c r="W19" s="41" t="s">
        <v>210</v>
      </c>
      <c r="X19" s="41" t="s">
        <v>70</v>
      </c>
      <c r="Y19" s="41" t="s">
        <v>221</v>
      </c>
      <c r="Z19" s="41" t="s">
        <v>222</v>
      </c>
      <c r="AA19" s="82">
        <v>0.1</v>
      </c>
      <c r="AB19" s="41" t="s">
        <v>223</v>
      </c>
      <c r="AC19" s="41" t="s">
        <v>224</v>
      </c>
      <c r="AD19" s="49">
        <v>44896</v>
      </c>
      <c r="AE19" s="49">
        <v>44942</v>
      </c>
      <c r="AF19" s="41" t="s">
        <v>225</v>
      </c>
      <c r="AG19" s="8" t="s">
        <v>422</v>
      </c>
      <c r="AH19" s="55">
        <v>1</v>
      </c>
      <c r="AI19" s="53" t="s">
        <v>226</v>
      </c>
      <c r="AJ19" s="37" t="s">
        <v>65</v>
      </c>
      <c r="AK19" s="53">
        <v>1</v>
      </c>
      <c r="AL19" s="53"/>
      <c r="AM19" s="53"/>
      <c r="AN19" s="53"/>
      <c r="AO19" s="53">
        <f>SUM(Tabla143[[#This Row],[TRIM I   ]:[TRIM IV     ]])</f>
        <v>1</v>
      </c>
      <c r="AP19" s="53">
        <v>1</v>
      </c>
      <c r="AQ19" s="53"/>
      <c r="AR19" s="53"/>
      <c r="AS19" s="23"/>
      <c r="AT19" s="23"/>
      <c r="AU19" s="23"/>
      <c r="AV19" s="23"/>
      <c r="AW19" s="23"/>
      <c r="AX19" s="23"/>
      <c r="AY19" s="23"/>
      <c r="AZ19" s="23"/>
      <c r="BA19" s="23"/>
      <c r="BB19" s="8">
        <f>SUM(Tabla143[[#This Row],[Enero ]:[Dic]])</f>
        <v>1</v>
      </c>
      <c r="BC19" s="17">
        <f t="shared" ref="BC19:BC46" si="3">IFERROR(IF(AO19=0,"",IF((BB19/AO19)&gt;100%,100%,(BB19/AO19))),"")</f>
        <v>1</v>
      </c>
      <c r="BD19" s="17">
        <f t="shared" ref="BD19:BD23" si="4">IFERROR(BC19*AA19,"")</f>
        <v>0.1</v>
      </c>
      <c r="BE19" s="74">
        <f>BD24*Tabla143[[#This Row],[Peso porcentual de la Meta de Objetivo]]</f>
        <v>0.11699999999999999</v>
      </c>
      <c r="BF19" s="74"/>
      <c r="BG19" s="74">
        <v>1</v>
      </c>
      <c r="BH19" s="74"/>
      <c r="BI19" s="8" t="s">
        <v>505</v>
      </c>
      <c r="BJ19" s="8" t="s">
        <v>513</v>
      </c>
      <c r="BK19" s="8" t="s">
        <v>227</v>
      </c>
      <c r="BL19" s="8" t="s">
        <v>228</v>
      </c>
    </row>
    <row r="20" spans="1:64" ht="105.65" customHeight="1" x14ac:dyDescent="0.35">
      <c r="A20" s="41" t="s">
        <v>62</v>
      </c>
      <c r="B20" s="41" t="s">
        <v>63</v>
      </c>
      <c r="C20" s="41" t="s">
        <v>68</v>
      </c>
      <c r="D20" s="8"/>
      <c r="E20" s="41" t="s">
        <v>218</v>
      </c>
      <c r="F20" s="8"/>
      <c r="G20" s="8"/>
      <c r="H20" s="8"/>
      <c r="I20" s="8"/>
      <c r="J20" s="8"/>
      <c r="K20" s="8"/>
      <c r="L20" s="8"/>
      <c r="M20" s="8"/>
      <c r="N20" s="8"/>
      <c r="O20" s="8"/>
      <c r="P20" s="8"/>
      <c r="Q20" s="36"/>
      <c r="R20" s="20"/>
      <c r="S20" s="20"/>
      <c r="T20" s="20"/>
      <c r="U20" s="36"/>
      <c r="V20" s="51" t="str">
        <f t="shared" si="0"/>
        <v/>
      </c>
      <c r="W20" s="41" t="s">
        <v>210</v>
      </c>
      <c r="X20" s="41" t="s">
        <v>70</v>
      </c>
      <c r="Y20" s="41" t="s">
        <v>221</v>
      </c>
      <c r="Z20" s="41" t="s">
        <v>229</v>
      </c>
      <c r="AA20" s="82">
        <v>0.2</v>
      </c>
      <c r="AB20" s="41" t="s">
        <v>230</v>
      </c>
      <c r="AC20" s="41" t="s">
        <v>231</v>
      </c>
      <c r="AD20" s="49">
        <v>44928</v>
      </c>
      <c r="AE20" s="49">
        <v>44942</v>
      </c>
      <c r="AF20" s="41" t="s">
        <v>232</v>
      </c>
      <c r="AG20" s="8" t="s">
        <v>233</v>
      </c>
      <c r="AH20" s="53">
        <v>1</v>
      </c>
      <c r="AI20" s="53" t="s">
        <v>234</v>
      </c>
      <c r="AJ20" s="37" t="s">
        <v>65</v>
      </c>
      <c r="AK20" s="53">
        <v>1</v>
      </c>
      <c r="AL20" s="53"/>
      <c r="AM20" s="53"/>
      <c r="AN20" s="53"/>
      <c r="AO20" s="53">
        <f>SUM(Tabla143[[#This Row],[TRIM I   ]:[TRIM IV     ]])</f>
        <v>1</v>
      </c>
      <c r="AP20" s="53">
        <v>1</v>
      </c>
      <c r="AQ20" s="53"/>
      <c r="AR20" s="53"/>
      <c r="AS20" s="23"/>
      <c r="AT20" s="23"/>
      <c r="AU20" s="23"/>
      <c r="AV20" s="23"/>
      <c r="AW20" s="23"/>
      <c r="AX20" s="23"/>
      <c r="AY20" s="23"/>
      <c r="AZ20" s="23"/>
      <c r="BA20" s="23"/>
      <c r="BB20" s="8">
        <f>SUM(Tabla143[[#This Row],[Enero ]:[Dic]])</f>
        <v>1</v>
      </c>
      <c r="BC20" s="17">
        <f t="shared" si="3"/>
        <v>1</v>
      </c>
      <c r="BD20" s="17">
        <f t="shared" si="4"/>
        <v>0.2</v>
      </c>
      <c r="BE20" s="74"/>
      <c r="BF20" s="74"/>
      <c r="BG20" s="74"/>
      <c r="BH20" s="74"/>
      <c r="BI20" s="8" t="s">
        <v>505</v>
      </c>
      <c r="BJ20" s="8" t="s">
        <v>513</v>
      </c>
      <c r="BK20" s="8" t="s">
        <v>227</v>
      </c>
      <c r="BL20" s="8" t="s">
        <v>228</v>
      </c>
    </row>
    <row r="21" spans="1:64" ht="105.65" customHeight="1" x14ac:dyDescent="0.35">
      <c r="A21" s="41" t="s">
        <v>62</v>
      </c>
      <c r="B21" s="41" t="s">
        <v>63</v>
      </c>
      <c r="C21" s="41" t="s">
        <v>68</v>
      </c>
      <c r="D21" s="8"/>
      <c r="E21" s="41" t="s">
        <v>218</v>
      </c>
      <c r="F21" s="8"/>
      <c r="G21" s="8"/>
      <c r="H21" s="8"/>
      <c r="I21" s="8"/>
      <c r="J21" s="8"/>
      <c r="K21" s="8"/>
      <c r="L21" s="8"/>
      <c r="M21" s="8"/>
      <c r="N21" s="8"/>
      <c r="O21" s="8"/>
      <c r="P21" s="8"/>
      <c r="Q21" s="36"/>
      <c r="R21" s="20"/>
      <c r="S21" s="20"/>
      <c r="T21" s="20"/>
      <c r="U21" s="36"/>
      <c r="V21" s="51" t="str">
        <f t="shared" si="0"/>
        <v/>
      </c>
      <c r="W21" s="41" t="s">
        <v>210</v>
      </c>
      <c r="X21" s="41" t="s">
        <v>70</v>
      </c>
      <c r="Y21" s="41" t="s">
        <v>221</v>
      </c>
      <c r="Z21" s="41" t="s">
        <v>221</v>
      </c>
      <c r="AA21" s="82">
        <v>0.2</v>
      </c>
      <c r="AB21" s="41" t="s">
        <v>235</v>
      </c>
      <c r="AC21" s="41" t="s">
        <v>236</v>
      </c>
      <c r="AD21" s="49">
        <v>44942</v>
      </c>
      <c r="AE21" s="49">
        <v>44957</v>
      </c>
      <c r="AF21" s="41" t="s">
        <v>237</v>
      </c>
      <c r="AG21" s="8" t="s">
        <v>238</v>
      </c>
      <c r="AH21" s="53">
        <v>1</v>
      </c>
      <c r="AI21" s="53" t="s">
        <v>234</v>
      </c>
      <c r="AJ21" s="37" t="s">
        <v>65</v>
      </c>
      <c r="AK21" s="53">
        <v>1</v>
      </c>
      <c r="AL21" s="53"/>
      <c r="AM21" s="53"/>
      <c r="AN21" s="53"/>
      <c r="AO21" s="53">
        <f>SUM(Tabla143[[#This Row],[TRIM I   ]:[TRIM IV     ]])</f>
        <v>1</v>
      </c>
      <c r="AP21" s="53">
        <v>1</v>
      </c>
      <c r="AQ21" s="53"/>
      <c r="AR21" s="53"/>
      <c r="AS21" s="23"/>
      <c r="AT21" s="23"/>
      <c r="AU21" s="23"/>
      <c r="AV21" s="23"/>
      <c r="AW21" s="23"/>
      <c r="AX21" s="23"/>
      <c r="AY21" s="23"/>
      <c r="AZ21" s="23"/>
      <c r="BA21" s="23"/>
      <c r="BB21" s="8">
        <f>SUM(Tabla143[[#This Row],[Enero ]:[Dic]])</f>
        <v>1</v>
      </c>
      <c r="BC21" s="17">
        <f t="shared" si="3"/>
        <v>1</v>
      </c>
      <c r="BD21" s="17">
        <f t="shared" si="4"/>
        <v>0.2</v>
      </c>
      <c r="BE21" s="74"/>
      <c r="BF21" s="74"/>
      <c r="BG21" s="74"/>
      <c r="BH21" s="74"/>
      <c r="BI21" s="8" t="s">
        <v>505</v>
      </c>
      <c r="BJ21" s="8" t="s">
        <v>513</v>
      </c>
      <c r="BK21" s="8" t="s">
        <v>227</v>
      </c>
      <c r="BL21" s="8" t="s">
        <v>228</v>
      </c>
    </row>
    <row r="22" spans="1:64" ht="105.65" customHeight="1" x14ac:dyDescent="0.35">
      <c r="A22" s="41" t="s">
        <v>62</v>
      </c>
      <c r="B22" s="41" t="s">
        <v>63</v>
      </c>
      <c r="C22" s="41" t="s">
        <v>68</v>
      </c>
      <c r="D22" s="8"/>
      <c r="E22" s="41" t="s">
        <v>218</v>
      </c>
      <c r="F22" s="8"/>
      <c r="G22" s="8"/>
      <c r="H22" s="8"/>
      <c r="I22" s="8"/>
      <c r="J22" s="8"/>
      <c r="K22" s="8"/>
      <c r="L22" s="8"/>
      <c r="M22" s="8"/>
      <c r="N22" s="8"/>
      <c r="O22" s="8"/>
      <c r="P22" s="8"/>
      <c r="Q22" s="36"/>
      <c r="R22" s="20"/>
      <c r="S22" s="20"/>
      <c r="T22" s="20"/>
      <c r="U22" s="36"/>
      <c r="V22" s="51" t="str">
        <f t="shared" si="0"/>
        <v/>
      </c>
      <c r="W22" s="41" t="s">
        <v>210</v>
      </c>
      <c r="X22" s="41" t="s">
        <v>70</v>
      </c>
      <c r="Y22" s="41" t="s">
        <v>221</v>
      </c>
      <c r="Z22" s="41" t="s">
        <v>221</v>
      </c>
      <c r="AA22" s="82">
        <v>0.3</v>
      </c>
      <c r="AB22" s="41" t="s">
        <v>239</v>
      </c>
      <c r="AC22" s="41" t="s">
        <v>423</v>
      </c>
      <c r="AD22" s="49">
        <v>44958</v>
      </c>
      <c r="AE22" s="49">
        <v>45289</v>
      </c>
      <c r="AF22" s="41" t="s">
        <v>240</v>
      </c>
      <c r="AG22" s="8" t="s">
        <v>241</v>
      </c>
      <c r="AH22" s="55">
        <v>1</v>
      </c>
      <c r="AI22" s="53" t="s">
        <v>226</v>
      </c>
      <c r="AJ22" s="37" t="s">
        <v>65</v>
      </c>
      <c r="AK22" s="53"/>
      <c r="AL22" s="53">
        <v>1</v>
      </c>
      <c r="AM22" s="53"/>
      <c r="AN22" s="53">
        <v>1</v>
      </c>
      <c r="AO22" s="53">
        <f>SUM(Tabla143[[#This Row],[TRIM I   ]:[TRIM IV     ]])</f>
        <v>2</v>
      </c>
      <c r="AP22" s="53"/>
      <c r="AQ22" s="53"/>
      <c r="AR22" s="53"/>
      <c r="AS22" s="23"/>
      <c r="AT22" s="23"/>
      <c r="AU22" s="23">
        <v>1</v>
      </c>
      <c r="AV22" s="23"/>
      <c r="AW22" s="23"/>
      <c r="AX22" s="23"/>
      <c r="AY22" s="23"/>
      <c r="AZ22" s="23"/>
      <c r="BA22" s="23"/>
      <c r="BB22" s="8">
        <f>SUM(Tabla143[[#This Row],[Enero ]:[Dic]])</f>
        <v>1</v>
      </c>
      <c r="BC22" s="17">
        <f t="shared" si="3"/>
        <v>0.5</v>
      </c>
      <c r="BD22" s="17">
        <f t="shared" si="4"/>
        <v>0.15</v>
      </c>
      <c r="BE22" s="74"/>
      <c r="BF22" s="74"/>
      <c r="BG22" s="74"/>
      <c r="BH22" s="74">
        <v>1</v>
      </c>
      <c r="BI22" s="8" t="s">
        <v>505</v>
      </c>
      <c r="BJ22" s="8" t="s">
        <v>513</v>
      </c>
      <c r="BK22" s="8" t="s">
        <v>227</v>
      </c>
      <c r="BL22" s="8" t="s">
        <v>228</v>
      </c>
    </row>
    <row r="23" spans="1:64" ht="105.65" customHeight="1" x14ac:dyDescent="0.35">
      <c r="A23" s="41" t="s">
        <v>62</v>
      </c>
      <c r="B23" s="41" t="s">
        <v>63</v>
      </c>
      <c r="C23" s="41" t="s">
        <v>68</v>
      </c>
      <c r="D23" s="8"/>
      <c r="E23" s="41" t="s">
        <v>218</v>
      </c>
      <c r="F23" s="8"/>
      <c r="G23" s="8"/>
      <c r="H23" s="8"/>
      <c r="I23" s="8"/>
      <c r="J23" s="8"/>
      <c r="K23" s="8"/>
      <c r="L23" s="8"/>
      <c r="M23" s="8"/>
      <c r="N23" s="8"/>
      <c r="O23" s="8"/>
      <c r="P23" s="8"/>
      <c r="Q23" s="36"/>
      <c r="R23" s="20"/>
      <c r="S23" s="20"/>
      <c r="T23" s="20"/>
      <c r="U23" s="36"/>
      <c r="V23" s="51" t="str">
        <f t="shared" si="0"/>
        <v/>
      </c>
      <c r="W23" s="41" t="s">
        <v>210</v>
      </c>
      <c r="X23" s="41" t="s">
        <v>70</v>
      </c>
      <c r="Y23" s="41" t="s">
        <v>221</v>
      </c>
      <c r="Z23" s="41" t="s">
        <v>221</v>
      </c>
      <c r="AA23" s="82">
        <v>0.2</v>
      </c>
      <c r="AB23" s="41" t="s">
        <v>242</v>
      </c>
      <c r="AC23" s="41" t="s">
        <v>243</v>
      </c>
      <c r="AD23" s="49">
        <v>45231</v>
      </c>
      <c r="AE23" s="49">
        <v>45289</v>
      </c>
      <c r="AF23" s="41" t="s">
        <v>244</v>
      </c>
      <c r="AG23" s="8" t="s">
        <v>245</v>
      </c>
      <c r="AH23" s="53">
        <v>2</v>
      </c>
      <c r="AI23" s="53" t="s">
        <v>234</v>
      </c>
      <c r="AJ23" s="37" t="s">
        <v>65</v>
      </c>
      <c r="AK23" s="53"/>
      <c r="AL23" s="53"/>
      <c r="AM23" s="53"/>
      <c r="AN23" s="53">
        <v>1</v>
      </c>
      <c r="AO23" s="53">
        <f>SUM(Tabla143[[#This Row],[TRIM I   ]:[TRIM IV     ]])</f>
        <v>1</v>
      </c>
      <c r="AP23" s="53"/>
      <c r="AQ23" s="53"/>
      <c r="AR23" s="53"/>
      <c r="AS23" s="23"/>
      <c r="AT23" s="23"/>
      <c r="AU23" s="23"/>
      <c r="AV23" s="23"/>
      <c r="AW23" s="23"/>
      <c r="AX23" s="23"/>
      <c r="AY23" s="23"/>
      <c r="AZ23" s="23"/>
      <c r="BA23" s="23"/>
      <c r="BB23" s="8">
        <f>SUM(Tabla143[[#This Row],[Enero ]:[Dic]])</f>
        <v>0</v>
      </c>
      <c r="BC23" s="17">
        <f t="shared" si="3"/>
        <v>0</v>
      </c>
      <c r="BD23" s="17">
        <f t="shared" si="4"/>
        <v>0</v>
      </c>
      <c r="BE23" s="74"/>
      <c r="BF23" s="74"/>
      <c r="BG23" s="74"/>
      <c r="BH23" s="74"/>
      <c r="BI23" s="8" t="s">
        <v>505</v>
      </c>
      <c r="BJ23" s="8" t="s">
        <v>513</v>
      </c>
      <c r="BK23" s="8" t="s">
        <v>227</v>
      </c>
      <c r="BL23" s="8" t="s">
        <v>228</v>
      </c>
    </row>
    <row r="24" spans="1:64" x14ac:dyDescent="0.35">
      <c r="A24" s="138"/>
      <c r="B24" s="138"/>
      <c r="C24" s="127"/>
      <c r="D24" s="128"/>
      <c r="E24" s="127"/>
      <c r="F24" s="127"/>
      <c r="G24" s="127"/>
      <c r="H24" s="128"/>
      <c r="I24" s="128"/>
      <c r="J24" s="128"/>
      <c r="K24" s="128"/>
      <c r="L24" s="128"/>
      <c r="M24" s="128"/>
      <c r="N24" s="128"/>
      <c r="O24" s="128"/>
      <c r="P24" s="128"/>
      <c r="Q24" s="129"/>
      <c r="R24" s="130"/>
      <c r="S24" s="130"/>
      <c r="T24" s="130"/>
      <c r="U24" s="129"/>
      <c r="V24" s="131"/>
      <c r="W24" s="127"/>
      <c r="X24" s="127"/>
      <c r="Y24" s="127"/>
      <c r="Z24" s="127"/>
      <c r="AA24" s="127"/>
      <c r="AB24" s="127"/>
      <c r="AC24" s="127"/>
      <c r="AD24" s="139"/>
      <c r="AE24" s="139"/>
      <c r="AF24" s="127"/>
      <c r="AG24" s="128"/>
      <c r="AH24" s="137"/>
      <c r="AI24" s="137"/>
      <c r="AJ24" s="137"/>
      <c r="AK24" s="137"/>
      <c r="AL24" s="137"/>
      <c r="AM24" s="137"/>
      <c r="AN24" s="137"/>
      <c r="AO24" s="137"/>
      <c r="AP24" s="143"/>
      <c r="AQ24" s="143"/>
      <c r="AR24" s="143"/>
      <c r="AS24" s="144"/>
      <c r="AT24" s="144"/>
      <c r="AU24" s="144"/>
      <c r="AV24" s="144"/>
      <c r="AW24" s="144"/>
      <c r="AX24" s="144"/>
      <c r="AY24" s="144"/>
      <c r="AZ24" s="144"/>
      <c r="BA24" s="144"/>
      <c r="BB24" s="143"/>
      <c r="BC24" s="145"/>
      <c r="BD24" s="146">
        <f>SUM(BD19:BD23)</f>
        <v>0.65</v>
      </c>
      <c r="BE24" s="136"/>
      <c r="BF24" s="136"/>
      <c r="BG24" s="136"/>
      <c r="BH24" s="136"/>
      <c r="BI24" s="137"/>
      <c r="BJ24" s="137"/>
      <c r="BK24" s="137"/>
      <c r="BL24" s="137"/>
    </row>
    <row r="25" spans="1:64" ht="72.5" x14ac:dyDescent="0.35">
      <c r="A25" s="54" t="s">
        <v>122</v>
      </c>
      <c r="B25" s="41" t="s">
        <v>63</v>
      </c>
      <c r="C25" s="41" t="s">
        <v>68</v>
      </c>
      <c r="D25" s="8"/>
      <c r="E25" s="41" t="s">
        <v>129</v>
      </c>
      <c r="F25" s="37">
        <v>0.16</v>
      </c>
      <c r="G25" s="37" t="s">
        <v>65</v>
      </c>
      <c r="H25" s="8" t="s">
        <v>130</v>
      </c>
      <c r="I25" s="8">
        <v>1</v>
      </c>
      <c r="J25" s="8" t="s">
        <v>87</v>
      </c>
      <c r="K25" s="37" t="s">
        <v>65</v>
      </c>
      <c r="L25" s="8"/>
      <c r="M25" s="8"/>
      <c r="N25" s="8">
        <v>1</v>
      </c>
      <c r="O25" s="8"/>
      <c r="P25" s="8">
        <f>SUM(Tabla143[[#This Row],[TRIM I]:[TRIM IV]])</f>
        <v>1</v>
      </c>
      <c r="Q25" s="8"/>
      <c r="R25" s="19"/>
      <c r="S25" s="19"/>
      <c r="T25" s="19"/>
      <c r="U25" s="8">
        <f>SUM(Tabla143[[#This Row],[TRIM I    ]:[TRIM IV    ]])</f>
        <v>0</v>
      </c>
      <c r="V25" s="17">
        <f>IFERROR(IF(P25=0,"",IF((U25/P25)&gt;100%,100%,(U25/P25))),"")</f>
        <v>0</v>
      </c>
      <c r="W25" s="41" t="s">
        <v>133</v>
      </c>
      <c r="X25" s="41" t="s">
        <v>70</v>
      </c>
      <c r="Y25" s="41" t="s">
        <v>71</v>
      </c>
      <c r="Z25" s="41" t="s">
        <v>134</v>
      </c>
      <c r="AA25" s="82">
        <v>0.12</v>
      </c>
      <c r="AB25" s="41" t="s">
        <v>135</v>
      </c>
      <c r="AC25" s="41" t="s">
        <v>136</v>
      </c>
      <c r="AD25" s="49">
        <v>44958</v>
      </c>
      <c r="AE25" s="49">
        <v>45198</v>
      </c>
      <c r="AF25" s="41" t="s">
        <v>126</v>
      </c>
      <c r="AG25" s="8" t="s">
        <v>86</v>
      </c>
      <c r="AH25" s="8">
        <v>1</v>
      </c>
      <c r="AI25" s="8" t="s">
        <v>87</v>
      </c>
      <c r="AJ25" s="37" t="s">
        <v>65</v>
      </c>
      <c r="AK25" s="53"/>
      <c r="AL25" s="8"/>
      <c r="AM25" s="8">
        <v>1</v>
      </c>
      <c r="AN25" s="53"/>
      <c r="AO25" s="53">
        <f>SUM(Tabla143[[#This Row],[TRIM I   ]:[TRIM IV     ]])</f>
        <v>1</v>
      </c>
      <c r="AP25" s="53"/>
      <c r="AQ25" s="53"/>
      <c r="AR25" s="53"/>
      <c r="AS25" s="23"/>
      <c r="AT25" s="23"/>
      <c r="AU25" s="23"/>
      <c r="AV25" s="23"/>
      <c r="AW25" s="23"/>
      <c r="AX25" s="23"/>
      <c r="AY25" s="23"/>
      <c r="AZ25" s="23"/>
      <c r="BA25" s="23"/>
      <c r="BB25" s="8">
        <f>SUM(Tabla143[[#This Row],[Enero ]:[Dic]])</f>
        <v>0</v>
      </c>
      <c r="BC25" s="17">
        <f t="shared" si="3"/>
        <v>0</v>
      </c>
      <c r="BD25" s="17">
        <f t="shared" ref="BD25:BD29" si="5">IFERROR(BC25*AA25,"")</f>
        <v>0</v>
      </c>
      <c r="BE25" s="74">
        <f>BD30*Tabla143[[#This Row],[Peso porcentual de la Meta de Objetivo]]</f>
        <v>0</v>
      </c>
      <c r="BF25" s="74"/>
      <c r="BG25" s="74"/>
      <c r="BH25" s="74"/>
      <c r="BI25" s="8" t="s">
        <v>505</v>
      </c>
      <c r="BJ25" s="8" t="s">
        <v>119</v>
      </c>
      <c r="BK25" s="8" t="s">
        <v>168</v>
      </c>
      <c r="BL25" s="8" t="s">
        <v>123</v>
      </c>
    </row>
    <row r="26" spans="1:64" ht="72.5" x14ac:dyDescent="0.35">
      <c r="A26" s="54" t="s">
        <v>122</v>
      </c>
      <c r="B26" s="41" t="s">
        <v>63</v>
      </c>
      <c r="C26" s="41" t="s">
        <v>68</v>
      </c>
      <c r="D26" s="8"/>
      <c r="E26" s="41" t="s">
        <v>129</v>
      </c>
      <c r="F26" s="8"/>
      <c r="G26" s="8"/>
      <c r="H26" s="8"/>
      <c r="I26" s="8"/>
      <c r="J26" s="8"/>
      <c r="K26" s="8"/>
      <c r="L26" s="8"/>
      <c r="M26" s="8"/>
      <c r="N26" s="8"/>
      <c r="O26" s="8"/>
      <c r="P26" s="8"/>
      <c r="Q26" s="36"/>
      <c r="R26" s="20"/>
      <c r="S26" s="20"/>
      <c r="T26" s="20"/>
      <c r="U26" s="36"/>
      <c r="V26" s="51" t="str">
        <f t="shared" si="0"/>
        <v/>
      </c>
      <c r="W26" s="41" t="s">
        <v>133</v>
      </c>
      <c r="X26" s="41" t="s">
        <v>70</v>
      </c>
      <c r="Y26" s="41" t="s">
        <v>71</v>
      </c>
      <c r="Z26" s="41" t="s">
        <v>72</v>
      </c>
      <c r="AA26" s="82">
        <v>0.14000000000000001</v>
      </c>
      <c r="AB26" s="41" t="s">
        <v>137</v>
      </c>
      <c r="AC26" s="41" t="s">
        <v>138</v>
      </c>
      <c r="AD26" s="49">
        <v>44958</v>
      </c>
      <c r="AE26" s="49">
        <v>45198</v>
      </c>
      <c r="AF26" s="41" t="s">
        <v>126</v>
      </c>
      <c r="AG26" s="8" t="s">
        <v>86</v>
      </c>
      <c r="AH26" s="8">
        <v>1</v>
      </c>
      <c r="AI26" s="8" t="s">
        <v>87</v>
      </c>
      <c r="AJ26" s="37" t="s">
        <v>65</v>
      </c>
      <c r="AK26" s="53"/>
      <c r="AL26" s="8"/>
      <c r="AM26" s="8">
        <v>1</v>
      </c>
      <c r="AN26" s="53"/>
      <c r="AO26" s="53">
        <f>SUM(Tabla143[[#This Row],[TRIM I   ]:[TRIM IV     ]])</f>
        <v>1</v>
      </c>
      <c r="AP26" s="53"/>
      <c r="AQ26" s="53"/>
      <c r="AR26" s="53"/>
      <c r="AS26" s="23"/>
      <c r="AT26" s="23"/>
      <c r="AU26" s="23"/>
      <c r="AV26" s="23"/>
      <c r="AW26" s="23"/>
      <c r="AX26" s="23"/>
      <c r="AY26" s="23"/>
      <c r="AZ26" s="23"/>
      <c r="BA26" s="23"/>
      <c r="BB26" s="8">
        <f>SUM(Tabla143[[#This Row],[Enero ]:[Dic]])</f>
        <v>0</v>
      </c>
      <c r="BC26" s="17">
        <f t="shared" si="3"/>
        <v>0</v>
      </c>
      <c r="BD26" s="17">
        <f t="shared" si="5"/>
        <v>0</v>
      </c>
      <c r="BE26" s="74"/>
      <c r="BF26" s="74"/>
      <c r="BG26" s="74"/>
      <c r="BH26" s="74"/>
      <c r="BI26" s="8" t="s">
        <v>505</v>
      </c>
      <c r="BJ26" s="8" t="s">
        <v>119</v>
      </c>
      <c r="BK26" s="8" t="s">
        <v>168</v>
      </c>
      <c r="BL26" s="8" t="s">
        <v>123</v>
      </c>
    </row>
    <row r="27" spans="1:64" ht="72.5" x14ac:dyDescent="0.35">
      <c r="A27" s="54" t="s">
        <v>122</v>
      </c>
      <c r="B27" s="41" t="s">
        <v>63</v>
      </c>
      <c r="C27" s="41" t="s">
        <v>68</v>
      </c>
      <c r="D27" s="8"/>
      <c r="E27" s="41" t="s">
        <v>129</v>
      </c>
      <c r="F27" s="8"/>
      <c r="G27" s="8"/>
      <c r="H27" s="8"/>
      <c r="I27" s="8"/>
      <c r="J27" s="8"/>
      <c r="K27" s="8"/>
      <c r="L27" s="8"/>
      <c r="M27" s="8"/>
      <c r="N27" s="8"/>
      <c r="O27" s="8"/>
      <c r="P27" s="8"/>
      <c r="Q27" s="36"/>
      <c r="R27" s="20"/>
      <c r="S27" s="20"/>
      <c r="T27" s="20"/>
      <c r="U27" s="36"/>
      <c r="V27" s="51" t="str">
        <f t="shared" si="0"/>
        <v/>
      </c>
      <c r="W27" s="41" t="s">
        <v>133</v>
      </c>
      <c r="X27" s="41" t="s">
        <v>70</v>
      </c>
      <c r="Y27" s="41" t="s">
        <v>71</v>
      </c>
      <c r="Z27" s="41" t="s">
        <v>72</v>
      </c>
      <c r="AA27" s="82">
        <v>0.5</v>
      </c>
      <c r="AB27" s="41" t="s">
        <v>139</v>
      </c>
      <c r="AC27" s="41" t="s">
        <v>140</v>
      </c>
      <c r="AD27" s="49">
        <v>44958</v>
      </c>
      <c r="AE27" s="49">
        <v>45198</v>
      </c>
      <c r="AF27" s="41" t="s">
        <v>126</v>
      </c>
      <c r="AG27" s="8" t="s">
        <v>86</v>
      </c>
      <c r="AH27" s="8">
        <v>1</v>
      </c>
      <c r="AI27" s="8" t="s">
        <v>87</v>
      </c>
      <c r="AJ27" s="37" t="s">
        <v>65</v>
      </c>
      <c r="AK27" s="53"/>
      <c r="AL27" s="8"/>
      <c r="AM27" s="8">
        <v>1</v>
      </c>
      <c r="AN27" s="53"/>
      <c r="AO27" s="53">
        <f>SUM(Tabla143[[#This Row],[TRIM I   ]:[TRIM IV     ]])</f>
        <v>1</v>
      </c>
      <c r="AP27" s="53"/>
      <c r="AQ27" s="53"/>
      <c r="AR27" s="53"/>
      <c r="AS27" s="23"/>
      <c r="AT27" s="23"/>
      <c r="AU27" s="23"/>
      <c r="AV27" s="23"/>
      <c r="AW27" s="23"/>
      <c r="AX27" s="23"/>
      <c r="AY27" s="23"/>
      <c r="AZ27" s="23"/>
      <c r="BA27" s="23"/>
      <c r="BB27" s="8">
        <f>SUM(Tabla143[[#This Row],[Enero ]:[Dic]])</f>
        <v>0</v>
      </c>
      <c r="BC27" s="17">
        <f t="shared" si="3"/>
        <v>0</v>
      </c>
      <c r="BD27" s="17">
        <f t="shared" si="5"/>
        <v>0</v>
      </c>
      <c r="BE27" s="74"/>
      <c r="BF27" s="74"/>
      <c r="BG27" s="74"/>
      <c r="BH27" s="74"/>
      <c r="BI27" s="8" t="s">
        <v>505</v>
      </c>
      <c r="BJ27" s="8" t="s">
        <v>119</v>
      </c>
      <c r="BK27" s="8" t="s">
        <v>168</v>
      </c>
      <c r="BL27" s="8" t="s">
        <v>123</v>
      </c>
    </row>
    <row r="28" spans="1:64" ht="72.5" x14ac:dyDescent="0.35">
      <c r="A28" s="54" t="s">
        <v>122</v>
      </c>
      <c r="B28" s="41" t="s">
        <v>63</v>
      </c>
      <c r="C28" s="41" t="s">
        <v>68</v>
      </c>
      <c r="D28" s="8"/>
      <c r="E28" s="41" t="s">
        <v>129</v>
      </c>
      <c r="F28" s="8"/>
      <c r="G28" s="8"/>
      <c r="H28" s="8"/>
      <c r="I28" s="8"/>
      <c r="J28" s="8"/>
      <c r="K28" s="8"/>
      <c r="L28" s="8"/>
      <c r="M28" s="8"/>
      <c r="N28" s="8"/>
      <c r="O28" s="8"/>
      <c r="P28" s="8"/>
      <c r="Q28" s="36"/>
      <c r="R28" s="20"/>
      <c r="S28" s="20"/>
      <c r="T28" s="20"/>
      <c r="U28" s="36"/>
      <c r="V28" s="51" t="str">
        <f t="shared" si="0"/>
        <v/>
      </c>
      <c r="W28" s="41" t="s">
        <v>133</v>
      </c>
      <c r="X28" s="41" t="s">
        <v>70</v>
      </c>
      <c r="Y28" s="41" t="s">
        <v>71</v>
      </c>
      <c r="Z28" s="41" t="s">
        <v>72</v>
      </c>
      <c r="AA28" s="82">
        <v>0.12</v>
      </c>
      <c r="AB28" s="41" t="s">
        <v>141</v>
      </c>
      <c r="AC28" s="41" t="s">
        <v>142</v>
      </c>
      <c r="AD28" s="49">
        <v>45198</v>
      </c>
      <c r="AE28" s="49">
        <v>45260</v>
      </c>
      <c r="AF28" s="41" t="s">
        <v>126</v>
      </c>
      <c r="AG28" s="8" t="s">
        <v>86</v>
      </c>
      <c r="AH28" s="8">
        <v>1</v>
      </c>
      <c r="AI28" s="8" t="s">
        <v>87</v>
      </c>
      <c r="AJ28" s="37" t="s">
        <v>65</v>
      </c>
      <c r="AK28" s="53"/>
      <c r="AL28" s="8"/>
      <c r="AM28" s="8"/>
      <c r="AN28" s="8">
        <v>1</v>
      </c>
      <c r="AO28" s="53">
        <f>SUM(Tabla143[[#This Row],[TRIM I   ]:[TRIM IV     ]])</f>
        <v>1</v>
      </c>
      <c r="AP28" s="53"/>
      <c r="AQ28" s="53"/>
      <c r="AR28" s="53"/>
      <c r="AS28" s="23"/>
      <c r="AT28" s="23"/>
      <c r="AU28" s="23"/>
      <c r="AV28" s="23"/>
      <c r="AW28" s="23"/>
      <c r="AX28" s="23"/>
      <c r="AY28" s="23"/>
      <c r="AZ28" s="23"/>
      <c r="BA28" s="23"/>
      <c r="BB28" s="8">
        <f>SUM(Tabla143[[#This Row],[Enero ]:[Dic]])</f>
        <v>0</v>
      </c>
      <c r="BC28" s="17">
        <f t="shared" si="3"/>
        <v>0</v>
      </c>
      <c r="BD28" s="17">
        <f t="shared" si="5"/>
        <v>0</v>
      </c>
      <c r="BE28" s="74"/>
      <c r="BF28" s="74"/>
      <c r="BG28" s="74"/>
      <c r="BH28" s="74"/>
      <c r="BI28" s="8" t="s">
        <v>505</v>
      </c>
      <c r="BJ28" s="8" t="s">
        <v>119</v>
      </c>
      <c r="BK28" s="8" t="s">
        <v>168</v>
      </c>
      <c r="BL28" s="8" t="s">
        <v>123</v>
      </c>
    </row>
    <row r="29" spans="1:64" ht="58" x14ac:dyDescent="0.35">
      <c r="A29" s="54" t="s">
        <v>122</v>
      </c>
      <c r="B29" s="41" t="s">
        <v>63</v>
      </c>
      <c r="C29" s="41" t="s">
        <v>68</v>
      </c>
      <c r="D29" s="8"/>
      <c r="E29" s="41" t="s">
        <v>129</v>
      </c>
      <c r="F29" s="8"/>
      <c r="G29" s="8"/>
      <c r="H29" s="8"/>
      <c r="I29" s="8"/>
      <c r="J29" s="8"/>
      <c r="K29" s="8"/>
      <c r="L29" s="8"/>
      <c r="M29" s="8"/>
      <c r="N29" s="8"/>
      <c r="O29" s="8"/>
      <c r="P29" s="8"/>
      <c r="Q29" s="9"/>
      <c r="R29" s="22"/>
      <c r="S29" s="22"/>
      <c r="T29" s="22"/>
      <c r="U29" s="9"/>
      <c r="V29" s="75" t="str">
        <f t="shared" si="0"/>
        <v/>
      </c>
      <c r="W29" s="41" t="s">
        <v>69</v>
      </c>
      <c r="X29" s="41" t="s">
        <v>70</v>
      </c>
      <c r="Y29" s="41" t="s">
        <v>71</v>
      </c>
      <c r="Z29" s="41" t="s">
        <v>72</v>
      </c>
      <c r="AA29" s="82">
        <v>0.12</v>
      </c>
      <c r="AB29" s="48" t="s">
        <v>73</v>
      </c>
      <c r="AC29" s="41" t="s">
        <v>74</v>
      </c>
      <c r="AD29" s="49">
        <v>45111</v>
      </c>
      <c r="AE29" s="50">
        <v>45247</v>
      </c>
      <c r="AF29" s="41" t="s">
        <v>75</v>
      </c>
      <c r="AG29" s="8" t="s">
        <v>80</v>
      </c>
      <c r="AH29" s="8">
        <v>1</v>
      </c>
      <c r="AI29" s="8" t="s">
        <v>87</v>
      </c>
      <c r="AJ29" s="37" t="s">
        <v>65</v>
      </c>
      <c r="AK29" s="8"/>
      <c r="AL29" s="8"/>
      <c r="AM29" s="8"/>
      <c r="AN29" s="8">
        <v>1</v>
      </c>
      <c r="AO29" s="53">
        <f>SUM(Tabla143[[#This Row],[TRIM I   ]:[TRIM IV     ]])</f>
        <v>1</v>
      </c>
      <c r="AP29" s="53"/>
      <c r="AQ29" s="53"/>
      <c r="AR29" s="53"/>
      <c r="AS29" s="23"/>
      <c r="AT29" s="23"/>
      <c r="AU29" s="23"/>
      <c r="AV29" s="23"/>
      <c r="AW29" s="23"/>
      <c r="AX29" s="23"/>
      <c r="AY29" s="23"/>
      <c r="AZ29" s="23"/>
      <c r="BA29" s="23"/>
      <c r="BB29" s="8">
        <f>SUM(Tabla143[[#This Row],[Enero ]:[Dic]])</f>
        <v>0</v>
      </c>
      <c r="BC29" s="17">
        <f t="shared" si="3"/>
        <v>0</v>
      </c>
      <c r="BD29" s="17">
        <f t="shared" si="5"/>
        <v>0</v>
      </c>
      <c r="BE29" s="74"/>
      <c r="BF29" s="74"/>
      <c r="BG29" s="74"/>
      <c r="BH29" s="74"/>
      <c r="BI29" s="8" t="s">
        <v>505</v>
      </c>
      <c r="BJ29" s="8" t="s">
        <v>92</v>
      </c>
      <c r="BK29" s="8" t="s">
        <v>93</v>
      </c>
      <c r="BL29" s="8" t="s">
        <v>93</v>
      </c>
    </row>
    <row r="30" spans="1:64" x14ac:dyDescent="0.35">
      <c r="A30" s="138"/>
      <c r="B30" s="127"/>
      <c r="C30" s="127"/>
      <c r="D30" s="128"/>
      <c r="E30" s="127"/>
      <c r="F30" s="127"/>
      <c r="G30" s="127"/>
      <c r="H30" s="128"/>
      <c r="I30" s="128"/>
      <c r="J30" s="128"/>
      <c r="K30" s="128"/>
      <c r="L30" s="128"/>
      <c r="M30" s="128"/>
      <c r="N30" s="128"/>
      <c r="O30" s="128"/>
      <c r="P30" s="128"/>
      <c r="Q30" s="129"/>
      <c r="R30" s="130"/>
      <c r="S30" s="130"/>
      <c r="T30" s="130"/>
      <c r="U30" s="129"/>
      <c r="V30" s="131"/>
      <c r="W30" s="127"/>
      <c r="X30" s="127"/>
      <c r="Y30" s="127"/>
      <c r="Z30" s="127"/>
      <c r="AA30" s="127"/>
      <c r="AB30" s="127"/>
      <c r="AC30" s="127"/>
      <c r="AD30" s="139"/>
      <c r="AE30" s="140"/>
      <c r="AF30" s="127"/>
      <c r="AG30" s="128"/>
      <c r="AH30" s="128"/>
      <c r="AI30" s="128"/>
      <c r="AJ30" s="128"/>
      <c r="AK30" s="128"/>
      <c r="AL30" s="128"/>
      <c r="AM30" s="128"/>
      <c r="AN30" s="128"/>
      <c r="AO30" s="128"/>
      <c r="AP30" s="127"/>
      <c r="AQ30" s="127"/>
      <c r="AR30" s="127"/>
      <c r="AS30" s="141"/>
      <c r="AT30" s="141"/>
      <c r="AU30" s="141"/>
      <c r="AV30" s="141"/>
      <c r="AW30" s="141"/>
      <c r="AX30" s="141"/>
      <c r="AY30" s="141"/>
      <c r="AZ30" s="141"/>
      <c r="BA30" s="141"/>
      <c r="BB30" s="127"/>
      <c r="BC30" s="142"/>
      <c r="BD30" s="136">
        <f>SUM(BD25:BD29)</f>
        <v>0</v>
      </c>
      <c r="BE30" s="136"/>
      <c r="BF30" s="136"/>
      <c r="BG30" s="136"/>
      <c r="BH30" s="136"/>
      <c r="BI30" s="137"/>
      <c r="BJ30" s="137"/>
      <c r="BK30" s="137"/>
      <c r="BL30" s="137"/>
    </row>
    <row r="31" spans="1:64" ht="105.65" customHeight="1" x14ac:dyDescent="0.35">
      <c r="A31" s="30" t="s">
        <v>62</v>
      </c>
      <c r="B31" s="30" t="s">
        <v>63</v>
      </c>
      <c r="C31" s="41" t="s">
        <v>68</v>
      </c>
      <c r="D31" s="8"/>
      <c r="E31" s="30" t="s">
        <v>278</v>
      </c>
      <c r="F31" s="80">
        <v>0.1</v>
      </c>
      <c r="G31" s="37" t="s">
        <v>65</v>
      </c>
      <c r="H31" s="28" t="s">
        <v>279</v>
      </c>
      <c r="I31" s="8">
        <v>3</v>
      </c>
      <c r="J31" s="8" t="s">
        <v>87</v>
      </c>
      <c r="K31" s="37" t="s">
        <v>65</v>
      </c>
      <c r="L31" s="8"/>
      <c r="M31" s="8"/>
      <c r="N31" s="8"/>
      <c r="O31" s="8">
        <v>3</v>
      </c>
      <c r="P31" s="8">
        <f>SUM(Tabla143[[#This Row],[TRIM I]:[TRIM IV]])</f>
        <v>3</v>
      </c>
      <c r="Q31" s="8"/>
      <c r="R31" s="19"/>
      <c r="S31" s="19"/>
      <c r="T31" s="19"/>
      <c r="U31" s="8">
        <f>SUM(Tabla143[[#This Row],[TRIM I    ]:[TRIM IV    ]])</f>
        <v>0</v>
      </c>
      <c r="V31" s="25">
        <f>IFERROR(IF(P31=0,"",IF((U31/P31)&gt;100%,100%,(U31/P31))),"")</f>
        <v>0</v>
      </c>
      <c r="W31" s="41" t="s">
        <v>69</v>
      </c>
      <c r="X31" s="41" t="s">
        <v>70</v>
      </c>
      <c r="Y31" s="41" t="s">
        <v>71</v>
      </c>
      <c r="Z31" s="41" t="s">
        <v>72</v>
      </c>
      <c r="AA31" s="221">
        <v>0.34</v>
      </c>
      <c r="AB31" s="48" t="s">
        <v>376</v>
      </c>
      <c r="AC31" s="30" t="s">
        <v>424</v>
      </c>
      <c r="AD31" s="49">
        <v>44958</v>
      </c>
      <c r="AE31" s="50">
        <v>45275</v>
      </c>
      <c r="AF31" s="30" t="s">
        <v>280</v>
      </c>
      <c r="AG31" s="28" t="s">
        <v>281</v>
      </c>
      <c r="AH31" s="8">
        <v>2</v>
      </c>
      <c r="AI31" s="8" t="s">
        <v>87</v>
      </c>
      <c r="AJ31" s="37" t="s">
        <v>65</v>
      </c>
      <c r="AK31" s="8"/>
      <c r="AL31" s="8">
        <v>1</v>
      </c>
      <c r="AM31" s="8"/>
      <c r="AN31" s="8">
        <v>1</v>
      </c>
      <c r="AO31" s="53">
        <f>SUM(Tabla143[[#This Row],[TRIM I   ]:[TRIM IV     ]])</f>
        <v>2</v>
      </c>
      <c r="AP31" s="53"/>
      <c r="AQ31" s="53"/>
      <c r="AR31" s="53"/>
      <c r="AS31" s="23"/>
      <c r="AT31" s="23"/>
      <c r="AU31" s="23">
        <v>1</v>
      </c>
      <c r="AV31" s="23"/>
      <c r="AW31" s="23"/>
      <c r="AX31" s="23"/>
      <c r="AY31" s="23"/>
      <c r="AZ31" s="23"/>
      <c r="BA31" s="23"/>
      <c r="BB31" s="8">
        <f>SUM(Tabla143[[#This Row],[Enero ]:[Dic]])</f>
        <v>1</v>
      </c>
      <c r="BC31" s="25">
        <f t="shared" si="3"/>
        <v>0.5</v>
      </c>
      <c r="BD31" s="25">
        <f t="shared" ref="BD31:BD33" si="6">IFERROR(BC31*AA31,"")</f>
        <v>0.17</v>
      </c>
      <c r="BE31" s="18">
        <f>BD34*Tabla143[[#This Row],[Peso porcentual de la Meta de Objetivo]]</f>
        <v>1.7000000000000001E-2</v>
      </c>
      <c r="BF31" s="18"/>
      <c r="BG31" s="18"/>
      <c r="BH31" s="18">
        <v>0.97</v>
      </c>
      <c r="BI31" s="28" t="s">
        <v>276</v>
      </c>
      <c r="BJ31" s="28" t="s">
        <v>514</v>
      </c>
      <c r="BK31" s="8" t="s">
        <v>282</v>
      </c>
      <c r="BL31" s="8" t="s">
        <v>283</v>
      </c>
    </row>
    <row r="32" spans="1:64" ht="105.65" customHeight="1" x14ac:dyDescent="0.35">
      <c r="A32" s="30" t="s">
        <v>62</v>
      </c>
      <c r="B32" s="30" t="s">
        <v>63</v>
      </c>
      <c r="C32" s="41" t="s">
        <v>68</v>
      </c>
      <c r="D32" s="28"/>
      <c r="E32" s="30" t="s">
        <v>278</v>
      </c>
      <c r="F32" s="28"/>
      <c r="G32" s="28"/>
      <c r="H32" s="28"/>
      <c r="I32" s="8"/>
      <c r="J32" s="8"/>
      <c r="K32" s="8"/>
      <c r="L32" s="8"/>
      <c r="M32" s="8"/>
      <c r="N32" s="8"/>
      <c r="O32" s="8"/>
      <c r="P32" s="8"/>
      <c r="Q32" s="8"/>
      <c r="R32" s="19"/>
      <c r="S32" s="19"/>
      <c r="T32" s="19"/>
      <c r="U32" s="8"/>
      <c r="V32" s="37" t="str">
        <f t="shared" si="0"/>
        <v/>
      </c>
      <c r="W32" s="41" t="s">
        <v>69</v>
      </c>
      <c r="X32" s="41" t="s">
        <v>70</v>
      </c>
      <c r="Y32" s="41" t="s">
        <v>71</v>
      </c>
      <c r="Z32" s="41" t="s">
        <v>72</v>
      </c>
      <c r="AA32" s="82">
        <v>0.33</v>
      </c>
      <c r="AB32" s="41" t="s">
        <v>377</v>
      </c>
      <c r="AC32" s="30" t="s">
        <v>424</v>
      </c>
      <c r="AD32" s="49">
        <v>44958</v>
      </c>
      <c r="AE32" s="50">
        <v>45275</v>
      </c>
      <c r="AF32" s="30" t="s">
        <v>280</v>
      </c>
      <c r="AG32" s="28" t="s">
        <v>281</v>
      </c>
      <c r="AH32" s="8">
        <v>2</v>
      </c>
      <c r="AI32" s="8" t="s">
        <v>87</v>
      </c>
      <c r="AJ32" s="37" t="s">
        <v>65</v>
      </c>
      <c r="AK32" s="8"/>
      <c r="AL32" s="8">
        <v>1</v>
      </c>
      <c r="AM32" s="8"/>
      <c r="AN32" s="8">
        <v>1</v>
      </c>
      <c r="AO32" s="53">
        <f>SUM(Tabla143[[#This Row],[TRIM I   ]:[TRIM IV     ]])</f>
        <v>2</v>
      </c>
      <c r="AP32" s="53"/>
      <c r="AQ32" s="53"/>
      <c r="AR32" s="53"/>
      <c r="AS32" s="23"/>
      <c r="AT32" s="23"/>
      <c r="AU32" s="23"/>
      <c r="AV32" s="23"/>
      <c r="AW32" s="23"/>
      <c r="AX32" s="23"/>
      <c r="AY32" s="23"/>
      <c r="AZ32" s="23"/>
      <c r="BA32" s="23"/>
      <c r="BB32" s="8">
        <f>SUM(Tabla143[[#This Row],[Enero ]:[Dic]])</f>
        <v>0</v>
      </c>
      <c r="BC32" s="17">
        <f t="shared" si="3"/>
        <v>0</v>
      </c>
      <c r="BD32" s="17">
        <f t="shared" si="6"/>
        <v>0</v>
      </c>
      <c r="BE32" s="74"/>
      <c r="BF32" s="74"/>
      <c r="BG32" s="74"/>
      <c r="BH32" s="74">
        <v>0</v>
      </c>
      <c r="BI32" s="28" t="s">
        <v>276</v>
      </c>
      <c r="BJ32" s="28" t="s">
        <v>515</v>
      </c>
      <c r="BK32" s="8" t="s">
        <v>284</v>
      </c>
      <c r="BL32" s="8" t="s">
        <v>283</v>
      </c>
    </row>
    <row r="33" spans="1:64" ht="105.65" customHeight="1" x14ac:dyDescent="0.35">
      <c r="A33" s="30" t="s">
        <v>62</v>
      </c>
      <c r="B33" s="30" t="s">
        <v>63</v>
      </c>
      <c r="C33" s="41" t="s">
        <v>68</v>
      </c>
      <c r="D33" s="28"/>
      <c r="E33" s="30" t="s">
        <v>278</v>
      </c>
      <c r="F33" s="28"/>
      <c r="G33" s="28"/>
      <c r="H33" s="28"/>
      <c r="I33" s="8"/>
      <c r="J33" s="8"/>
      <c r="K33" s="8"/>
      <c r="L33" s="8"/>
      <c r="M33" s="8"/>
      <c r="N33" s="8"/>
      <c r="O33" s="8"/>
      <c r="P33" s="8"/>
      <c r="Q33" s="8"/>
      <c r="R33" s="19"/>
      <c r="S33" s="19"/>
      <c r="T33" s="19"/>
      <c r="U33" s="8"/>
      <c r="V33" s="37" t="str">
        <f t="shared" si="0"/>
        <v/>
      </c>
      <c r="W33" s="41" t="s">
        <v>69</v>
      </c>
      <c r="X33" s="41" t="s">
        <v>70</v>
      </c>
      <c r="Y33" s="41" t="s">
        <v>71</v>
      </c>
      <c r="Z33" s="41" t="s">
        <v>72</v>
      </c>
      <c r="AA33" s="82">
        <v>0.33</v>
      </c>
      <c r="AB33" s="6" t="s">
        <v>378</v>
      </c>
      <c r="AC33" s="30" t="s">
        <v>424</v>
      </c>
      <c r="AD33" s="49">
        <v>44958</v>
      </c>
      <c r="AE33" s="50">
        <v>45275</v>
      </c>
      <c r="AF33" s="30" t="s">
        <v>280</v>
      </c>
      <c r="AG33" s="28" t="s">
        <v>281</v>
      </c>
      <c r="AH33" s="8">
        <v>2</v>
      </c>
      <c r="AI33" s="8" t="s">
        <v>87</v>
      </c>
      <c r="AJ33" s="37" t="s">
        <v>65</v>
      </c>
      <c r="AK33" s="8"/>
      <c r="AL33" s="8">
        <v>1</v>
      </c>
      <c r="AM33" s="8"/>
      <c r="AN33" s="8">
        <v>1</v>
      </c>
      <c r="AO33" s="53">
        <f>SUM(Tabla143[[#This Row],[TRIM I   ]:[TRIM IV     ]])</f>
        <v>2</v>
      </c>
      <c r="AP33" s="53"/>
      <c r="AQ33" s="53"/>
      <c r="AR33" s="53"/>
      <c r="AS33" s="23"/>
      <c r="AT33" s="23"/>
      <c r="AU33" s="23"/>
      <c r="AV33" s="23"/>
      <c r="AW33" s="23"/>
      <c r="AX33" s="23"/>
      <c r="AY33" s="23"/>
      <c r="AZ33" s="23"/>
      <c r="BA33" s="23"/>
      <c r="BB33" s="8">
        <f>SUM(Tabla143[[#This Row],[Enero ]:[Dic]])</f>
        <v>0</v>
      </c>
      <c r="BC33" s="17">
        <f t="shared" si="3"/>
        <v>0</v>
      </c>
      <c r="BD33" s="17">
        <f t="shared" si="6"/>
        <v>0</v>
      </c>
      <c r="BE33" s="74"/>
      <c r="BF33" s="74"/>
      <c r="BG33" s="74"/>
      <c r="BH33" s="74">
        <v>0</v>
      </c>
      <c r="BI33" s="28" t="s">
        <v>276</v>
      </c>
      <c r="BJ33" s="28" t="s">
        <v>516</v>
      </c>
      <c r="BK33" s="8" t="s">
        <v>277</v>
      </c>
      <c r="BL33" s="8" t="s">
        <v>283</v>
      </c>
    </row>
    <row r="34" spans="1:64" x14ac:dyDescent="0.35">
      <c r="A34" s="138"/>
      <c r="B34" s="127"/>
      <c r="C34" s="127"/>
      <c r="D34" s="128"/>
      <c r="E34" s="127"/>
      <c r="F34" s="127"/>
      <c r="G34" s="127"/>
      <c r="H34" s="128"/>
      <c r="I34" s="128"/>
      <c r="J34" s="128"/>
      <c r="K34" s="128"/>
      <c r="L34" s="128"/>
      <c r="M34" s="128"/>
      <c r="N34" s="128"/>
      <c r="O34" s="128"/>
      <c r="P34" s="128"/>
      <c r="Q34" s="129"/>
      <c r="R34" s="130"/>
      <c r="S34" s="130"/>
      <c r="T34" s="130"/>
      <c r="U34" s="129"/>
      <c r="V34" s="131"/>
      <c r="W34" s="127"/>
      <c r="X34" s="127"/>
      <c r="Y34" s="127"/>
      <c r="Z34" s="127"/>
      <c r="AA34" s="127"/>
      <c r="AB34" s="127"/>
      <c r="AC34" s="127"/>
      <c r="AD34" s="139"/>
      <c r="AE34" s="140"/>
      <c r="AF34" s="127"/>
      <c r="AG34" s="128"/>
      <c r="AH34" s="128"/>
      <c r="AI34" s="128"/>
      <c r="AJ34" s="128"/>
      <c r="AK34" s="128"/>
      <c r="AL34" s="128"/>
      <c r="AM34" s="128"/>
      <c r="AN34" s="128"/>
      <c r="AO34" s="128"/>
      <c r="AP34" s="127"/>
      <c r="AQ34" s="127"/>
      <c r="AR34" s="127"/>
      <c r="AS34" s="141"/>
      <c r="AT34" s="141"/>
      <c r="AU34" s="141"/>
      <c r="AV34" s="141"/>
      <c r="AW34" s="141"/>
      <c r="AX34" s="141"/>
      <c r="AY34" s="141"/>
      <c r="AZ34" s="141"/>
      <c r="BA34" s="141"/>
      <c r="BB34" s="127"/>
      <c r="BC34" s="142"/>
      <c r="BD34" s="136">
        <f>SUM(BD31:BD33)</f>
        <v>0.17</v>
      </c>
      <c r="BE34" s="136"/>
      <c r="BF34" s="136"/>
      <c r="BG34" s="136"/>
      <c r="BH34" s="136"/>
      <c r="BI34" s="137"/>
      <c r="BJ34" s="137"/>
      <c r="BK34" s="137"/>
      <c r="BL34" s="137"/>
    </row>
    <row r="35" spans="1:64" s="2" customFormat="1" ht="58" x14ac:dyDescent="0.35">
      <c r="A35" s="41" t="s">
        <v>62</v>
      </c>
      <c r="B35" s="41" t="s">
        <v>63</v>
      </c>
      <c r="C35" s="41" t="s">
        <v>68</v>
      </c>
      <c r="D35" s="8"/>
      <c r="E35" s="30" t="s">
        <v>519</v>
      </c>
      <c r="F35" s="80">
        <v>0.06</v>
      </c>
      <c r="G35" s="37" t="s">
        <v>65</v>
      </c>
      <c r="H35" s="8" t="s">
        <v>86</v>
      </c>
      <c r="I35" s="8">
        <v>4</v>
      </c>
      <c r="J35" s="8" t="s">
        <v>87</v>
      </c>
      <c r="K35" s="37" t="s">
        <v>65</v>
      </c>
      <c r="L35" s="8">
        <v>1</v>
      </c>
      <c r="M35" s="8">
        <v>1</v>
      </c>
      <c r="N35" s="8">
        <v>1</v>
      </c>
      <c r="O35" s="8">
        <v>1</v>
      </c>
      <c r="P35" s="8">
        <f>SUM(Tabla143[[#This Row],[TRIM I]:[TRIM IV]])</f>
        <v>4</v>
      </c>
      <c r="Q35" s="8">
        <v>1</v>
      </c>
      <c r="R35" s="19">
        <v>1</v>
      </c>
      <c r="S35" s="19"/>
      <c r="T35" s="19"/>
      <c r="U35" s="8">
        <f>SUM(Tabla143[[#This Row],[TRIM I    ]:[TRIM IV    ]])</f>
        <v>2</v>
      </c>
      <c r="V35" s="17">
        <f>IFERROR(IF(P35=0,"",IF((U35/P35)&gt;100%,100%,(U35/P35))),"")</f>
        <v>0.5</v>
      </c>
      <c r="W35" s="41" t="s">
        <v>69</v>
      </c>
      <c r="X35" s="41" t="s">
        <v>70</v>
      </c>
      <c r="Y35" s="41" t="s">
        <v>71</v>
      </c>
      <c r="Z35" s="41" t="s">
        <v>76</v>
      </c>
      <c r="AA35" s="82">
        <v>0.5</v>
      </c>
      <c r="AB35" s="41" t="s">
        <v>77</v>
      </c>
      <c r="AC35" s="41" t="s">
        <v>78</v>
      </c>
      <c r="AD35" s="49">
        <v>45026</v>
      </c>
      <c r="AE35" s="49">
        <v>45212</v>
      </c>
      <c r="AF35" s="41" t="s">
        <v>84</v>
      </c>
      <c r="AG35" s="8" t="s">
        <v>79</v>
      </c>
      <c r="AH35" s="53">
        <v>2</v>
      </c>
      <c r="AI35" s="8" t="s">
        <v>87</v>
      </c>
      <c r="AJ35" s="37" t="s">
        <v>65</v>
      </c>
      <c r="AK35" s="53"/>
      <c r="AL35" s="8">
        <v>1</v>
      </c>
      <c r="AM35" s="8"/>
      <c r="AN35" s="8">
        <v>1</v>
      </c>
      <c r="AO35" s="53">
        <f>SUM(Tabla143[[#This Row],[TRIM I   ]:[TRIM IV     ]])</f>
        <v>2</v>
      </c>
      <c r="AP35" s="53"/>
      <c r="AQ35" s="53"/>
      <c r="AR35" s="53"/>
      <c r="AS35" s="23"/>
      <c r="AT35" s="23"/>
      <c r="AU35" s="23">
        <v>1</v>
      </c>
      <c r="AV35" s="23"/>
      <c r="AW35" s="23"/>
      <c r="AX35" s="23"/>
      <c r="AY35" s="23"/>
      <c r="AZ35" s="23"/>
      <c r="BA35" s="23"/>
      <c r="BB35" s="8">
        <f>SUM(Tabla143[[#This Row],[Enero ]:[Dic]])</f>
        <v>1</v>
      </c>
      <c r="BC35" s="17">
        <f t="shared" si="3"/>
        <v>0.5</v>
      </c>
      <c r="BD35" s="17">
        <f t="shared" ref="BD35:BD36" si="7">IFERROR(BC35*AA35,"")</f>
        <v>0.25</v>
      </c>
      <c r="BE35" s="74">
        <f>BD37*Tabla143[[#This Row],[Peso porcentual de la Meta de Objetivo]]</f>
        <v>0.03</v>
      </c>
      <c r="BF35" s="74"/>
      <c r="BG35" s="74">
        <v>1</v>
      </c>
      <c r="BH35" s="74">
        <v>1</v>
      </c>
      <c r="BI35" s="8" t="s">
        <v>505</v>
      </c>
      <c r="BJ35" s="8" t="s">
        <v>92</v>
      </c>
      <c r="BK35" s="8" t="s">
        <v>93</v>
      </c>
      <c r="BL35" s="8" t="s">
        <v>93</v>
      </c>
    </row>
    <row r="36" spans="1:64" ht="58" x14ac:dyDescent="0.35">
      <c r="A36" s="41" t="s">
        <v>62</v>
      </c>
      <c r="B36" s="41" t="s">
        <v>63</v>
      </c>
      <c r="C36" s="41" t="s">
        <v>68</v>
      </c>
      <c r="D36" s="8"/>
      <c r="E36" s="30" t="s">
        <v>519</v>
      </c>
      <c r="F36" s="28"/>
      <c r="G36" s="28"/>
      <c r="H36" s="8"/>
      <c r="I36" s="8"/>
      <c r="J36" s="8"/>
      <c r="K36" s="8"/>
      <c r="L36" s="8"/>
      <c r="M36" s="8"/>
      <c r="N36" s="8"/>
      <c r="O36" s="8"/>
      <c r="P36" s="8"/>
      <c r="Q36" s="36"/>
      <c r="R36" s="20"/>
      <c r="S36" s="20"/>
      <c r="T36" s="20"/>
      <c r="U36" s="36"/>
      <c r="V36" s="51" t="str">
        <f t="shared" si="0"/>
        <v/>
      </c>
      <c r="W36" s="41" t="s">
        <v>69</v>
      </c>
      <c r="X36" s="41" t="s">
        <v>70</v>
      </c>
      <c r="Y36" s="41" t="s">
        <v>71</v>
      </c>
      <c r="Z36" s="41" t="s">
        <v>81</v>
      </c>
      <c r="AA36" s="82">
        <v>0.5</v>
      </c>
      <c r="AB36" s="41" t="s">
        <v>82</v>
      </c>
      <c r="AC36" s="41" t="s">
        <v>83</v>
      </c>
      <c r="AD36" s="49">
        <v>44958</v>
      </c>
      <c r="AE36" s="49">
        <v>45198</v>
      </c>
      <c r="AF36" s="41" t="s">
        <v>85</v>
      </c>
      <c r="AG36" s="8" t="s">
        <v>79</v>
      </c>
      <c r="AH36" s="53">
        <v>2</v>
      </c>
      <c r="AI36" s="8" t="s">
        <v>87</v>
      </c>
      <c r="AJ36" s="37" t="s">
        <v>65</v>
      </c>
      <c r="AK36" s="53">
        <v>1</v>
      </c>
      <c r="AL36" s="8"/>
      <c r="AM36" s="8">
        <v>1</v>
      </c>
      <c r="AN36" s="8"/>
      <c r="AO36" s="53">
        <f>SUM(Tabla143[[#This Row],[TRIM I   ]:[TRIM IV     ]])</f>
        <v>2</v>
      </c>
      <c r="AP36" s="53"/>
      <c r="AQ36" s="53"/>
      <c r="AR36" s="53">
        <v>1</v>
      </c>
      <c r="AS36" s="23"/>
      <c r="AT36" s="23"/>
      <c r="AU36" s="23"/>
      <c r="AV36" s="23"/>
      <c r="AW36" s="23"/>
      <c r="AX36" s="23"/>
      <c r="AY36" s="23"/>
      <c r="AZ36" s="23"/>
      <c r="BA36" s="23"/>
      <c r="BB36" s="8">
        <f>SUM(Tabla143[[#This Row],[Enero ]:[Dic]])</f>
        <v>1</v>
      </c>
      <c r="BC36" s="17">
        <f t="shared" si="3"/>
        <v>0.5</v>
      </c>
      <c r="BD36" s="17">
        <f t="shared" si="7"/>
        <v>0.25</v>
      </c>
      <c r="BE36" s="74"/>
      <c r="BF36" s="74"/>
      <c r="BG36" s="74"/>
      <c r="BH36" s="74"/>
      <c r="BI36" s="8" t="s">
        <v>505</v>
      </c>
      <c r="BJ36" s="8" t="s">
        <v>92</v>
      </c>
      <c r="BK36" s="8" t="s">
        <v>93</v>
      </c>
      <c r="BL36" s="8" t="s">
        <v>93</v>
      </c>
    </row>
    <row r="37" spans="1:64" x14ac:dyDescent="0.35">
      <c r="A37" s="138"/>
      <c r="B37" s="138"/>
      <c r="C37" s="127"/>
      <c r="D37" s="128"/>
      <c r="E37" s="127"/>
      <c r="F37" s="127"/>
      <c r="G37" s="127"/>
      <c r="H37" s="128"/>
      <c r="I37" s="128"/>
      <c r="J37" s="128"/>
      <c r="K37" s="128"/>
      <c r="L37" s="128"/>
      <c r="M37" s="128"/>
      <c r="N37" s="128"/>
      <c r="O37" s="128"/>
      <c r="P37" s="128"/>
      <c r="Q37" s="129"/>
      <c r="R37" s="130"/>
      <c r="S37" s="130"/>
      <c r="T37" s="130"/>
      <c r="U37" s="129"/>
      <c r="V37" s="131"/>
      <c r="W37" s="127"/>
      <c r="X37" s="127"/>
      <c r="Y37" s="127"/>
      <c r="Z37" s="127"/>
      <c r="AA37" s="127"/>
      <c r="AB37" s="127"/>
      <c r="AC37" s="127"/>
      <c r="AD37" s="139"/>
      <c r="AE37" s="139"/>
      <c r="AF37" s="127"/>
      <c r="AG37" s="128"/>
      <c r="AH37" s="137"/>
      <c r="AI37" s="128"/>
      <c r="AJ37" s="128"/>
      <c r="AK37" s="137"/>
      <c r="AL37" s="128"/>
      <c r="AM37" s="128"/>
      <c r="AN37" s="128"/>
      <c r="AO37" s="137"/>
      <c r="AP37" s="143"/>
      <c r="AQ37" s="143"/>
      <c r="AR37" s="143"/>
      <c r="AS37" s="144"/>
      <c r="AT37" s="144"/>
      <c r="AU37" s="144"/>
      <c r="AV37" s="144"/>
      <c r="AW37" s="144"/>
      <c r="AX37" s="144"/>
      <c r="AY37" s="144"/>
      <c r="AZ37" s="144"/>
      <c r="BA37" s="144"/>
      <c r="BB37" s="143"/>
      <c r="BC37" s="145"/>
      <c r="BD37" s="146">
        <f>SUM(BD35:BD36)</f>
        <v>0.5</v>
      </c>
      <c r="BE37" s="136"/>
      <c r="BF37" s="136"/>
      <c r="BG37" s="136"/>
      <c r="BH37" s="136"/>
      <c r="BI37" s="137"/>
      <c r="BJ37" s="137"/>
      <c r="BK37" s="137"/>
      <c r="BL37" s="137"/>
    </row>
    <row r="38" spans="1:64" ht="188.5" x14ac:dyDescent="0.35">
      <c r="A38" s="54" t="s">
        <v>62</v>
      </c>
      <c r="B38" s="41" t="s">
        <v>63</v>
      </c>
      <c r="C38" s="41" t="s">
        <v>68</v>
      </c>
      <c r="D38" s="8"/>
      <c r="E38" s="41" t="s">
        <v>131</v>
      </c>
      <c r="F38" s="37">
        <v>0.13</v>
      </c>
      <c r="G38" s="37" t="s">
        <v>65</v>
      </c>
      <c r="H38" s="8" t="s">
        <v>132</v>
      </c>
      <c r="I38" s="8">
        <v>4</v>
      </c>
      <c r="J38" s="8" t="s">
        <v>87</v>
      </c>
      <c r="K38" s="37" t="s">
        <v>65</v>
      </c>
      <c r="L38" s="8">
        <v>1</v>
      </c>
      <c r="M38" s="8">
        <v>1</v>
      </c>
      <c r="N38" s="8">
        <v>1</v>
      </c>
      <c r="O38" s="8">
        <v>1</v>
      </c>
      <c r="P38" s="8">
        <f>SUM(Tabla143[[#This Row],[TRIM I]:[TRIM IV]])</f>
        <v>4</v>
      </c>
      <c r="Q38" s="8">
        <v>1</v>
      </c>
      <c r="R38" s="19">
        <v>1</v>
      </c>
      <c r="S38" s="19"/>
      <c r="T38" s="19"/>
      <c r="U38" s="8">
        <f>SUM(Tabla143[[#This Row],[TRIM I    ]:[TRIM IV    ]])</f>
        <v>2</v>
      </c>
      <c r="V38" s="17">
        <f>IFERROR(IF(P38=0,"",IF((U38/P38)&gt;100%,100%,(U38/P38))),"")</f>
        <v>0.5</v>
      </c>
      <c r="W38" s="41" t="s">
        <v>210</v>
      </c>
      <c r="X38" s="41" t="s">
        <v>147</v>
      </c>
      <c r="Y38" s="76" t="s">
        <v>148</v>
      </c>
      <c r="Z38" s="76" t="s">
        <v>165</v>
      </c>
      <c r="AA38" s="83">
        <v>0.12</v>
      </c>
      <c r="AB38" s="44" t="s">
        <v>166</v>
      </c>
      <c r="AC38" s="44" t="s">
        <v>425</v>
      </c>
      <c r="AD38" s="49">
        <v>44928</v>
      </c>
      <c r="AE38" s="49">
        <v>45289</v>
      </c>
      <c r="AF38" s="41" t="s">
        <v>167</v>
      </c>
      <c r="AG38" s="8" t="s">
        <v>86</v>
      </c>
      <c r="AH38" s="53">
        <v>2</v>
      </c>
      <c r="AI38" s="8" t="s">
        <v>87</v>
      </c>
      <c r="AJ38" s="37" t="s">
        <v>65</v>
      </c>
      <c r="AK38" s="53"/>
      <c r="AL38" s="53">
        <v>1</v>
      </c>
      <c r="AM38" s="53"/>
      <c r="AN38" s="53">
        <v>1</v>
      </c>
      <c r="AO38" s="53">
        <f>SUM(Tabla143[[#This Row],[TRIM I   ]:[TRIM IV     ]])</f>
        <v>2</v>
      </c>
      <c r="AP38" s="53"/>
      <c r="AQ38" s="53"/>
      <c r="AR38" s="53"/>
      <c r="AS38" s="23"/>
      <c r="AT38" s="23"/>
      <c r="AU38" s="23">
        <v>1</v>
      </c>
      <c r="AV38" s="23"/>
      <c r="AW38" s="23"/>
      <c r="AX38" s="23"/>
      <c r="AY38" s="23"/>
      <c r="AZ38" s="23"/>
      <c r="BA38" s="23"/>
      <c r="BB38" s="8">
        <f>SUM(Tabla143[[#This Row],[Enero ]:[Dic]])</f>
        <v>1</v>
      </c>
      <c r="BC38" s="17">
        <f t="shared" si="3"/>
        <v>0.5</v>
      </c>
      <c r="BD38" s="17">
        <f t="shared" ref="BD38:BD41" si="8">IFERROR(BC38*AA38,"")</f>
        <v>0.06</v>
      </c>
      <c r="BE38" s="74">
        <f>BD42*Tabla143[[#This Row],[Peso porcentual de la Meta de Objetivo]]</f>
        <v>5.5640000000000002E-2</v>
      </c>
      <c r="BF38" s="74"/>
      <c r="BG38" s="74">
        <v>1</v>
      </c>
      <c r="BH38" s="74">
        <v>1</v>
      </c>
      <c r="BI38" s="8" t="s">
        <v>308</v>
      </c>
      <c r="BJ38" s="8" t="s">
        <v>510</v>
      </c>
      <c r="BK38" s="8" t="s">
        <v>494</v>
      </c>
      <c r="BL38" s="8" t="s">
        <v>494</v>
      </c>
    </row>
    <row r="39" spans="1:64" ht="58" x14ac:dyDescent="0.35">
      <c r="A39" s="54" t="s">
        <v>62</v>
      </c>
      <c r="B39" s="41" t="s">
        <v>63</v>
      </c>
      <c r="C39" s="41" t="s">
        <v>68</v>
      </c>
      <c r="D39" s="8"/>
      <c r="E39" s="41" t="s">
        <v>131</v>
      </c>
      <c r="F39" s="8"/>
      <c r="G39" s="8"/>
      <c r="H39" s="8"/>
      <c r="I39" s="8"/>
      <c r="J39" s="8"/>
      <c r="K39" s="8"/>
      <c r="L39" s="8"/>
      <c r="M39" s="8"/>
      <c r="N39" s="8"/>
      <c r="O39" s="8"/>
      <c r="P39" s="8"/>
      <c r="Q39" s="36"/>
      <c r="R39" s="20"/>
      <c r="S39" s="20"/>
      <c r="T39" s="20"/>
      <c r="U39" s="36"/>
      <c r="V39" s="51" t="str">
        <f t="shared" si="0"/>
        <v/>
      </c>
      <c r="W39" s="41" t="s">
        <v>210</v>
      </c>
      <c r="X39" s="41" t="s">
        <v>147</v>
      </c>
      <c r="Y39" s="76" t="s">
        <v>148</v>
      </c>
      <c r="Z39" s="76" t="s">
        <v>160</v>
      </c>
      <c r="AA39" s="220">
        <v>0.24</v>
      </c>
      <c r="AB39" s="41" t="s">
        <v>161</v>
      </c>
      <c r="AC39" s="41" t="s">
        <v>162</v>
      </c>
      <c r="AD39" s="49">
        <v>44928</v>
      </c>
      <c r="AE39" s="49">
        <v>45289</v>
      </c>
      <c r="AF39" s="41" t="s">
        <v>163</v>
      </c>
      <c r="AG39" s="8" t="s">
        <v>164</v>
      </c>
      <c r="AH39" s="53">
        <v>12</v>
      </c>
      <c r="AI39" s="8" t="s">
        <v>391</v>
      </c>
      <c r="AJ39" s="37" t="s">
        <v>65</v>
      </c>
      <c r="AK39" s="53">
        <v>3</v>
      </c>
      <c r="AL39" s="53">
        <v>3</v>
      </c>
      <c r="AM39" s="53">
        <v>3</v>
      </c>
      <c r="AN39" s="53">
        <v>3</v>
      </c>
      <c r="AO39" s="53">
        <f>SUM(Tabla143[[#This Row],[TRIM I   ]:[TRIM IV     ]])</f>
        <v>12</v>
      </c>
      <c r="AP39" s="53"/>
      <c r="AQ39" s="53"/>
      <c r="AR39" s="53">
        <v>4</v>
      </c>
      <c r="AS39" s="23"/>
      <c r="AT39" s="23"/>
      <c r="AU39" s="23">
        <v>8</v>
      </c>
      <c r="AV39" s="23"/>
      <c r="AW39" s="23"/>
      <c r="AX39" s="23"/>
      <c r="AY39" s="23"/>
      <c r="AZ39" s="23"/>
      <c r="BA39" s="23"/>
      <c r="BB39" s="8">
        <f>SUM(Tabla143[[#This Row],[Enero ]:[Dic]])</f>
        <v>12</v>
      </c>
      <c r="BC39" s="25">
        <f t="shared" si="3"/>
        <v>1</v>
      </c>
      <c r="BD39" s="25">
        <f t="shared" si="8"/>
        <v>0.24</v>
      </c>
      <c r="BE39" s="18"/>
      <c r="BF39" s="18"/>
      <c r="BG39" s="18"/>
      <c r="BH39" s="18">
        <v>0.99</v>
      </c>
      <c r="BI39" s="8" t="s">
        <v>308</v>
      </c>
      <c r="BJ39" s="8" t="s">
        <v>510</v>
      </c>
      <c r="BK39" s="8" t="s">
        <v>494</v>
      </c>
      <c r="BL39" s="8" t="s">
        <v>494</v>
      </c>
    </row>
    <row r="40" spans="1:64" ht="58" x14ac:dyDescent="0.35">
      <c r="A40" s="54" t="s">
        <v>62</v>
      </c>
      <c r="B40" s="41" t="s">
        <v>63</v>
      </c>
      <c r="C40" s="41" t="s">
        <v>68</v>
      </c>
      <c r="D40" s="8"/>
      <c r="E40" s="41" t="s">
        <v>131</v>
      </c>
      <c r="F40" s="8"/>
      <c r="G40" s="8"/>
      <c r="H40" s="8"/>
      <c r="I40" s="8"/>
      <c r="J40" s="8"/>
      <c r="K40" s="8"/>
      <c r="L40" s="8"/>
      <c r="M40" s="8"/>
      <c r="N40" s="8"/>
      <c r="O40" s="8"/>
      <c r="P40" s="43"/>
      <c r="Q40" s="36"/>
      <c r="R40" s="20"/>
      <c r="S40" s="20"/>
      <c r="T40" s="20"/>
      <c r="U40" s="36"/>
      <c r="V40" s="51" t="str">
        <f t="shared" si="0"/>
        <v/>
      </c>
      <c r="W40" s="41" t="s">
        <v>210</v>
      </c>
      <c r="X40" s="41" t="s">
        <v>147</v>
      </c>
      <c r="Y40" s="76" t="s">
        <v>148</v>
      </c>
      <c r="Z40" s="76" t="s">
        <v>149</v>
      </c>
      <c r="AA40" s="83">
        <v>0.32</v>
      </c>
      <c r="AB40" s="41" t="s">
        <v>154</v>
      </c>
      <c r="AC40" s="41" t="s">
        <v>155</v>
      </c>
      <c r="AD40" s="49">
        <v>45108</v>
      </c>
      <c r="AE40" s="49">
        <v>45169</v>
      </c>
      <c r="AF40" s="41" t="s">
        <v>156</v>
      </c>
      <c r="AG40" s="8" t="s">
        <v>153</v>
      </c>
      <c r="AH40" s="53">
        <v>1</v>
      </c>
      <c r="AI40" s="8" t="s">
        <v>392</v>
      </c>
      <c r="AJ40" s="37" t="s">
        <v>65</v>
      </c>
      <c r="AK40" s="53"/>
      <c r="AL40" s="53"/>
      <c r="AM40" s="53">
        <v>1</v>
      </c>
      <c r="AN40" s="53"/>
      <c r="AO40" s="53">
        <f>SUM(Tabla143[[#This Row],[TRIM I   ]:[TRIM IV     ]])</f>
        <v>1</v>
      </c>
      <c r="AP40" s="53"/>
      <c r="AQ40" s="53"/>
      <c r="AR40" s="53"/>
      <c r="AS40" s="23"/>
      <c r="AT40" s="23"/>
      <c r="AU40" s="23"/>
      <c r="AV40" s="23"/>
      <c r="AW40" s="23"/>
      <c r="AX40" s="23"/>
      <c r="AY40" s="23"/>
      <c r="AZ40" s="23"/>
      <c r="BA40" s="23"/>
      <c r="BB40" s="8">
        <f>SUM(Tabla143[[#This Row],[Enero ]:[Dic]])</f>
        <v>0</v>
      </c>
      <c r="BC40" s="17">
        <f t="shared" si="3"/>
        <v>0</v>
      </c>
      <c r="BD40" s="17">
        <f t="shared" si="8"/>
        <v>0</v>
      </c>
      <c r="BE40" s="74"/>
      <c r="BF40" s="74"/>
      <c r="BG40" s="74"/>
      <c r="BH40" s="74"/>
      <c r="BI40" s="8" t="s">
        <v>308</v>
      </c>
      <c r="BJ40" s="8" t="s">
        <v>510</v>
      </c>
      <c r="BK40" s="8" t="s">
        <v>494</v>
      </c>
      <c r="BL40" s="8" t="s">
        <v>494</v>
      </c>
    </row>
    <row r="41" spans="1:64" ht="116" x14ac:dyDescent="0.35">
      <c r="A41" s="54" t="s">
        <v>62</v>
      </c>
      <c r="B41" s="41" t="s">
        <v>63</v>
      </c>
      <c r="C41" s="41" t="s">
        <v>68</v>
      </c>
      <c r="D41" s="8"/>
      <c r="E41" s="41" t="s">
        <v>131</v>
      </c>
      <c r="F41" s="8"/>
      <c r="G41" s="8"/>
      <c r="H41" s="8"/>
      <c r="I41" s="8"/>
      <c r="J41" s="8"/>
      <c r="K41" s="8"/>
      <c r="L41" s="8"/>
      <c r="M41" s="8"/>
      <c r="N41" s="8"/>
      <c r="O41" s="8"/>
      <c r="P41" s="43"/>
      <c r="Q41" s="36"/>
      <c r="R41" s="20"/>
      <c r="S41" s="20"/>
      <c r="T41" s="20"/>
      <c r="U41" s="36"/>
      <c r="V41" s="51" t="str">
        <f t="shared" si="0"/>
        <v/>
      </c>
      <c r="W41" s="41" t="s">
        <v>210</v>
      </c>
      <c r="X41" s="41" t="s">
        <v>147</v>
      </c>
      <c r="Y41" s="76" t="s">
        <v>148</v>
      </c>
      <c r="Z41" s="76" t="s">
        <v>149</v>
      </c>
      <c r="AA41" s="83">
        <v>0.32</v>
      </c>
      <c r="AB41" s="41" t="s">
        <v>157</v>
      </c>
      <c r="AC41" s="41" t="s">
        <v>158</v>
      </c>
      <c r="AD41" s="49">
        <v>44928</v>
      </c>
      <c r="AE41" s="49">
        <v>45289</v>
      </c>
      <c r="AF41" s="41" t="s">
        <v>159</v>
      </c>
      <c r="AG41" s="8" t="s">
        <v>153</v>
      </c>
      <c r="AH41" s="53">
        <v>5</v>
      </c>
      <c r="AI41" s="8" t="s">
        <v>392</v>
      </c>
      <c r="AJ41" s="37" t="s">
        <v>65</v>
      </c>
      <c r="AK41" s="53">
        <v>1</v>
      </c>
      <c r="AL41" s="53">
        <v>1</v>
      </c>
      <c r="AM41" s="53">
        <v>1</v>
      </c>
      <c r="AN41" s="53">
        <v>2</v>
      </c>
      <c r="AO41" s="53">
        <f>SUM(Tabla143[[#This Row],[TRIM I   ]:[TRIM IV     ]])</f>
        <v>5</v>
      </c>
      <c r="AP41" s="53"/>
      <c r="AQ41" s="53"/>
      <c r="AR41" s="53">
        <v>1</v>
      </c>
      <c r="AS41" s="23"/>
      <c r="AT41" s="23"/>
      <c r="AU41" s="23">
        <v>1</v>
      </c>
      <c r="AV41" s="23"/>
      <c r="AW41" s="23"/>
      <c r="AX41" s="23"/>
      <c r="AY41" s="23"/>
      <c r="AZ41" s="23"/>
      <c r="BA41" s="23"/>
      <c r="BB41" s="8">
        <f>SUM(Tabla143[[#This Row],[Enero ]:[Dic]])</f>
        <v>2</v>
      </c>
      <c r="BC41" s="17">
        <f t="shared" si="3"/>
        <v>0.4</v>
      </c>
      <c r="BD41" s="17">
        <f t="shared" si="8"/>
        <v>0.128</v>
      </c>
      <c r="BE41" s="74"/>
      <c r="BF41" s="74"/>
      <c r="BG41" s="74"/>
      <c r="BH41" s="74">
        <v>1</v>
      </c>
      <c r="BI41" s="8" t="s">
        <v>308</v>
      </c>
      <c r="BJ41" s="8" t="s">
        <v>510</v>
      </c>
      <c r="BK41" s="8" t="s">
        <v>494</v>
      </c>
      <c r="BL41" s="8" t="s">
        <v>494</v>
      </c>
    </row>
    <row r="42" spans="1:64" x14ac:dyDescent="0.35">
      <c r="A42" s="138"/>
      <c r="B42" s="127"/>
      <c r="C42" s="127"/>
      <c r="D42" s="128"/>
      <c r="E42" s="127"/>
      <c r="F42" s="127"/>
      <c r="G42" s="127"/>
      <c r="H42" s="128"/>
      <c r="I42" s="128"/>
      <c r="J42" s="128"/>
      <c r="K42" s="128"/>
      <c r="L42" s="128"/>
      <c r="M42" s="128"/>
      <c r="N42" s="128"/>
      <c r="O42" s="128"/>
      <c r="P42" s="133"/>
      <c r="Q42" s="129"/>
      <c r="R42" s="130"/>
      <c r="S42" s="130"/>
      <c r="T42" s="130"/>
      <c r="U42" s="129"/>
      <c r="V42" s="131"/>
      <c r="W42" s="127"/>
      <c r="X42" s="127"/>
      <c r="Y42" s="127"/>
      <c r="Z42" s="127"/>
      <c r="AA42" s="127"/>
      <c r="AB42" s="127"/>
      <c r="AC42" s="127"/>
      <c r="AD42" s="139"/>
      <c r="AE42" s="139"/>
      <c r="AF42" s="127"/>
      <c r="AG42" s="128"/>
      <c r="AH42" s="137"/>
      <c r="AI42" s="128"/>
      <c r="AJ42" s="128"/>
      <c r="AK42" s="137"/>
      <c r="AL42" s="137"/>
      <c r="AM42" s="137"/>
      <c r="AN42" s="137"/>
      <c r="AO42" s="137"/>
      <c r="AP42" s="143"/>
      <c r="AQ42" s="143"/>
      <c r="AR42" s="143"/>
      <c r="AS42" s="144"/>
      <c r="AT42" s="144"/>
      <c r="AU42" s="144"/>
      <c r="AV42" s="144"/>
      <c r="AW42" s="144"/>
      <c r="AX42" s="144"/>
      <c r="AY42" s="144"/>
      <c r="AZ42" s="144"/>
      <c r="BA42" s="144"/>
      <c r="BB42" s="143"/>
      <c r="BC42" s="145"/>
      <c r="BD42" s="146">
        <f>SUM(BD38:BD41)</f>
        <v>0.42799999999999999</v>
      </c>
      <c r="BE42" s="136"/>
      <c r="BF42" s="136"/>
      <c r="BG42" s="136"/>
      <c r="BH42" s="136"/>
      <c r="BI42" s="137"/>
      <c r="BJ42" s="137"/>
      <c r="BK42" s="137"/>
      <c r="BL42" s="137"/>
    </row>
    <row r="43" spans="1:64" ht="101.5" x14ac:dyDescent="0.35">
      <c r="A43" s="46" t="s">
        <v>62</v>
      </c>
      <c r="B43" s="41" t="s">
        <v>63</v>
      </c>
      <c r="C43" s="41" t="s">
        <v>68</v>
      </c>
      <c r="D43" s="8"/>
      <c r="E43" s="41" t="s">
        <v>266</v>
      </c>
      <c r="F43" s="12">
        <v>0.13</v>
      </c>
      <c r="G43" s="37" t="s">
        <v>65</v>
      </c>
      <c r="H43" s="8" t="s">
        <v>267</v>
      </c>
      <c r="I43" s="8">
        <v>10</v>
      </c>
      <c r="J43" s="8" t="s">
        <v>87</v>
      </c>
      <c r="K43" s="37" t="s">
        <v>65</v>
      </c>
      <c r="L43" s="8">
        <v>2</v>
      </c>
      <c r="M43" s="8">
        <v>2</v>
      </c>
      <c r="N43" s="8">
        <v>3</v>
      </c>
      <c r="O43" s="8">
        <v>3</v>
      </c>
      <c r="P43" s="8">
        <f>SUM(Tabla143[[#This Row],[TRIM I]:[TRIM IV]])</f>
        <v>10</v>
      </c>
      <c r="Q43" s="8">
        <v>3</v>
      </c>
      <c r="R43" s="19">
        <v>2</v>
      </c>
      <c r="S43" s="19"/>
      <c r="T43" s="19"/>
      <c r="U43" s="8">
        <f>SUM(Tabla143[[#This Row],[TRIM I    ]:[TRIM IV    ]])</f>
        <v>5</v>
      </c>
      <c r="V43" s="17">
        <f>IFERROR(IF(P43=0,"",IF((U43/P43)&gt;100%,100%,(U43/P43))),"")</f>
        <v>0.5</v>
      </c>
      <c r="W43" s="41" t="s">
        <v>210</v>
      </c>
      <c r="X43" s="41" t="s">
        <v>70</v>
      </c>
      <c r="Y43" s="41" t="s">
        <v>268</v>
      </c>
      <c r="Z43" s="41" t="s">
        <v>144</v>
      </c>
      <c r="AA43" s="82">
        <v>0.25</v>
      </c>
      <c r="AB43" s="41" t="s">
        <v>269</v>
      </c>
      <c r="AC43" s="41" t="s">
        <v>426</v>
      </c>
      <c r="AD43" s="42">
        <v>44928</v>
      </c>
      <c r="AE43" s="42">
        <v>45289</v>
      </c>
      <c r="AF43" s="41" t="s">
        <v>270</v>
      </c>
      <c r="AG43" s="8" t="s">
        <v>267</v>
      </c>
      <c r="AH43" s="53">
        <v>8</v>
      </c>
      <c r="AI43" s="53" t="s">
        <v>87</v>
      </c>
      <c r="AJ43" s="37" t="s">
        <v>65</v>
      </c>
      <c r="AK43" s="53">
        <v>2</v>
      </c>
      <c r="AL43" s="53">
        <v>2</v>
      </c>
      <c r="AM43" s="53">
        <v>2</v>
      </c>
      <c r="AN43" s="53">
        <v>2</v>
      </c>
      <c r="AO43" s="53">
        <f>SUM(Tabla143[[#This Row],[TRIM I   ]:[TRIM IV     ]])</f>
        <v>8</v>
      </c>
      <c r="AP43" s="53">
        <v>1</v>
      </c>
      <c r="AQ43" s="53">
        <v>1</v>
      </c>
      <c r="AR43" s="53">
        <v>1</v>
      </c>
      <c r="AS43" s="23">
        <v>1</v>
      </c>
      <c r="AT43" s="23"/>
      <c r="AU43" s="23">
        <v>1</v>
      </c>
      <c r="AV43" s="23"/>
      <c r="AW43" s="23"/>
      <c r="AX43" s="23"/>
      <c r="AY43" s="23"/>
      <c r="AZ43" s="23"/>
      <c r="BA43" s="23"/>
      <c r="BB43" s="8">
        <f>SUM(Tabla143[[#This Row],[Enero ]:[Dic]])</f>
        <v>5</v>
      </c>
      <c r="BC43" s="17">
        <f t="shared" si="3"/>
        <v>0.625</v>
      </c>
      <c r="BD43" s="17">
        <f t="shared" ref="BD43:BD46" si="9">IFERROR(BC43*AA43,"")</f>
        <v>0.15625</v>
      </c>
      <c r="BE43" s="74">
        <f>BD47*Tabla143[[#This Row],[Peso porcentual de la Meta de Objetivo]]</f>
        <v>5.2812499999999998E-2</v>
      </c>
      <c r="BF43" s="74"/>
      <c r="BG43" s="74">
        <v>1</v>
      </c>
      <c r="BH43" s="74">
        <v>1</v>
      </c>
      <c r="BI43" s="8" t="s">
        <v>263</v>
      </c>
      <c r="BJ43" s="8" t="s">
        <v>517</v>
      </c>
      <c r="BK43" s="8" t="s">
        <v>271</v>
      </c>
      <c r="BL43" s="8" t="s">
        <v>265</v>
      </c>
    </row>
    <row r="44" spans="1:64" ht="58" x14ac:dyDescent="0.35">
      <c r="A44" s="46" t="s">
        <v>62</v>
      </c>
      <c r="B44" s="41" t="s">
        <v>63</v>
      </c>
      <c r="C44" s="41" t="s">
        <v>68</v>
      </c>
      <c r="D44" s="8"/>
      <c r="E44" s="41" t="s">
        <v>266</v>
      </c>
      <c r="F44" s="8"/>
      <c r="G44" s="8"/>
      <c r="H44" s="8"/>
      <c r="I44" s="8"/>
      <c r="J44" s="8"/>
      <c r="K44" s="8"/>
      <c r="L44" s="8"/>
      <c r="M44" s="8"/>
      <c r="N44" s="8"/>
      <c r="O44" s="8"/>
      <c r="P44" s="8"/>
      <c r="Q44" s="36"/>
      <c r="R44" s="20"/>
      <c r="S44" s="20"/>
      <c r="T44" s="20"/>
      <c r="U44" s="36"/>
      <c r="V44" s="51" t="str">
        <f t="shared" si="0"/>
        <v/>
      </c>
      <c r="W44" s="41" t="s">
        <v>210</v>
      </c>
      <c r="X44" s="41" t="s">
        <v>70</v>
      </c>
      <c r="Y44" s="41" t="s">
        <v>268</v>
      </c>
      <c r="Z44" s="41" t="s">
        <v>144</v>
      </c>
      <c r="AA44" s="82">
        <v>0.25</v>
      </c>
      <c r="AB44" s="41" t="s">
        <v>272</v>
      </c>
      <c r="AC44" s="41" t="s">
        <v>273</v>
      </c>
      <c r="AD44" s="42">
        <v>44928</v>
      </c>
      <c r="AE44" s="42">
        <v>45289</v>
      </c>
      <c r="AF44" s="41" t="s">
        <v>274</v>
      </c>
      <c r="AG44" s="8" t="s">
        <v>275</v>
      </c>
      <c r="AH44" s="53">
        <v>2</v>
      </c>
      <c r="AI44" s="53" t="s">
        <v>87</v>
      </c>
      <c r="AJ44" s="37" t="s">
        <v>65</v>
      </c>
      <c r="AK44" s="53"/>
      <c r="AL44" s="53"/>
      <c r="AM44" s="53">
        <v>1</v>
      </c>
      <c r="AN44" s="53">
        <v>1</v>
      </c>
      <c r="AO44" s="53">
        <f>SUM(Tabla143[[#This Row],[TRIM I   ]:[TRIM IV     ]])</f>
        <v>2</v>
      </c>
      <c r="AP44" s="53"/>
      <c r="AQ44" s="53"/>
      <c r="AR44" s="53"/>
      <c r="AS44" s="23"/>
      <c r="AT44" s="23"/>
      <c r="AU44" s="23"/>
      <c r="AV44" s="23"/>
      <c r="AW44" s="23"/>
      <c r="AX44" s="23"/>
      <c r="AY44" s="23"/>
      <c r="AZ44" s="23"/>
      <c r="BA44" s="23"/>
      <c r="BB44" s="8">
        <f>SUM(Tabla143[[#This Row],[Enero ]:[Dic]])</f>
        <v>0</v>
      </c>
      <c r="BC44" s="17">
        <f t="shared" si="3"/>
        <v>0</v>
      </c>
      <c r="BD44" s="17">
        <f t="shared" si="9"/>
        <v>0</v>
      </c>
      <c r="BE44" s="74"/>
      <c r="BF44" s="74"/>
      <c r="BG44" s="74"/>
      <c r="BH44" s="74"/>
      <c r="BI44" s="8" t="s">
        <v>263</v>
      </c>
      <c r="BJ44" s="8" t="s">
        <v>517</v>
      </c>
      <c r="BK44" s="8" t="s">
        <v>271</v>
      </c>
      <c r="BL44" s="8" t="s">
        <v>265</v>
      </c>
    </row>
    <row r="45" spans="1:64" ht="72.5" x14ac:dyDescent="0.35">
      <c r="A45" s="46" t="s">
        <v>62</v>
      </c>
      <c r="B45" s="41" t="s">
        <v>63</v>
      </c>
      <c r="C45" s="41" t="s">
        <v>68</v>
      </c>
      <c r="D45" s="8"/>
      <c r="E45" s="41" t="s">
        <v>266</v>
      </c>
      <c r="F45" s="8"/>
      <c r="G45" s="8"/>
      <c r="H45" s="8"/>
      <c r="I45" s="8"/>
      <c r="J45" s="8"/>
      <c r="K45" s="8"/>
      <c r="L45" s="8"/>
      <c r="M45" s="8"/>
      <c r="N45" s="8"/>
      <c r="O45" s="8"/>
      <c r="P45" s="8"/>
      <c r="Q45" s="36"/>
      <c r="R45" s="20"/>
      <c r="S45" s="20"/>
      <c r="T45" s="20"/>
      <c r="U45" s="36"/>
      <c r="V45" s="51" t="str">
        <f t="shared" si="0"/>
        <v/>
      </c>
      <c r="W45" s="41" t="s">
        <v>210</v>
      </c>
      <c r="X45" s="41" t="s">
        <v>70</v>
      </c>
      <c r="Y45" s="41" t="s">
        <v>143</v>
      </c>
      <c r="Z45" s="76" t="s">
        <v>379</v>
      </c>
      <c r="AA45" s="17">
        <v>0.25</v>
      </c>
      <c r="AB45" s="27" t="s">
        <v>150</v>
      </c>
      <c r="AC45" s="41" t="s">
        <v>151</v>
      </c>
      <c r="AD45" s="49">
        <v>44928</v>
      </c>
      <c r="AE45" s="49">
        <v>45169</v>
      </c>
      <c r="AF45" s="41" t="s">
        <v>152</v>
      </c>
      <c r="AG45" s="8" t="s">
        <v>153</v>
      </c>
      <c r="AH45" s="53">
        <v>2</v>
      </c>
      <c r="AI45" s="8" t="s">
        <v>392</v>
      </c>
      <c r="AJ45" s="37" t="s">
        <v>65</v>
      </c>
      <c r="AK45" s="53">
        <v>1</v>
      </c>
      <c r="AL45" s="53"/>
      <c r="AM45" s="53">
        <v>1</v>
      </c>
      <c r="AN45" s="53"/>
      <c r="AO45" s="53">
        <f>SUM(Tabla143[[#This Row],[TRIM I   ]:[TRIM IV     ]])</f>
        <v>2</v>
      </c>
      <c r="AP45" s="53"/>
      <c r="AQ45" s="53"/>
      <c r="AR45" s="53">
        <v>1</v>
      </c>
      <c r="AS45" s="23"/>
      <c r="AT45" s="23"/>
      <c r="AU45" s="23"/>
      <c r="AV45" s="23"/>
      <c r="AW45" s="23"/>
      <c r="AX45" s="23"/>
      <c r="AY45" s="23"/>
      <c r="AZ45" s="23"/>
      <c r="BA45" s="23"/>
      <c r="BB45" s="8">
        <f>SUM(Tabla143[[#This Row],[Enero ]:[Dic]])</f>
        <v>1</v>
      </c>
      <c r="BC45" s="17">
        <f t="shared" si="3"/>
        <v>0.5</v>
      </c>
      <c r="BD45" s="17">
        <f t="shared" si="9"/>
        <v>0.125</v>
      </c>
      <c r="BE45" s="74"/>
      <c r="BF45" s="74"/>
      <c r="BG45" s="74"/>
      <c r="BH45" s="74"/>
      <c r="BI45" s="8" t="s">
        <v>308</v>
      </c>
      <c r="BJ45" s="8" t="s">
        <v>510</v>
      </c>
      <c r="BK45" s="8" t="s">
        <v>494</v>
      </c>
      <c r="BL45" s="8" t="s">
        <v>494</v>
      </c>
    </row>
    <row r="46" spans="1:64" ht="72.5" x14ac:dyDescent="0.35">
      <c r="A46" s="46" t="s">
        <v>62</v>
      </c>
      <c r="B46" s="41" t="s">
        <v>63</v>
      </c>
      <c r="C46" s="41" t="s">
        <v>68</v>
      </c>
      <c r="D46" s="8"/>
      <c r="E46" s="41" t="s">
        <v>266</v>
      </c>
      <c r="F46" s="8"/>
      <c r="G46" s="8"/>
      <c r="H46" s="8"/>
      <c r="I46" s="8"/>
      <c r="J46" s="8"/>
      <c r="K46" s="8"/>
      <c r="L46" s="8"/>
      <c r="M46" s="8"/>
      <c r="N46" s="8"/>
      <c r="O46" s="8"/>
      <c r="P46" s="8"/>
      <c r="Q46" s="36"/>
      <c r="R46" s="20"/>
      <c r="S46" s="20"/>
      <c r="T46" s="20"/>
      <c r="U46" s="36"/>
      <c r="V46" s="51" t="str">
        <f t="shared" si="0"/>
        <v/>
      </c>
      <c r="W46" s="41" t="s">
        <v>210</v>
      </c>
      <c r="X46" s="41" t="s">
        <v>70</v>
      </c>
      <c r="Y46" s="41" t="s">
        <v>143</v>
      </c>
      <c r="Z46" s="41" t="s">
        <v>380</v>
      </c>
      <c r="AA46" s="79">
        <v>0.25</v>
      </c>
      <c r="AB46" s="41" t="s">
        <v>145</v>
      </c>
      <c r="AC46" s="41" t="s">
        <v>427</v>
      </c>
      <c r="AD46" s="49">
        <v>44928</v>
      </c>
      <c r="AE46" s="49">
        <v>45289</v>
      </c>
      <c r="AF46" s="41" t="s">
        <v>146</v>
      </c>
      <c r="AG46" s="8" t="s">
        <v>86</v>
      </c>
      <c r="AH46" s="8">
        <v>2</v>
      </c>
      <c r="AI46" s="53" t="s">
        <v>87</v>
      </c>
      <c r="AJ46" s="37" t="s">
        <v>65</v>
      </c>
      <c r="AK46" s="53"/>
      <c r="AL46" s="8">
        <v>1</v>
      </c>
      <c r="AM46" s="53"/>
      <c r="AN46" s="8">
        <v>1</v>
      </c>
      <c r="AO46" s="53">
        <f>SUM(Tabla143[[#This Row],[TRIM I   ]:[TRIM IV     ]])</f>
        <v>2</v>
      </c>
      <c r="AP46" s="53"/>
      <c r="AQ46" s="53"/>
      <c r="AR46" s="53"/>
      <c r="AS46" s="23"/>
      <c r="AT46" s="23"/>
      <c r="AU46" s="23">
        <v>1</v>
      </c>
      <c r="AV46" s="23"/>
      <c r="AW46" s="23"/>
      <c r="AX46" s="23"/>
      <c r="AY46" s="23"/>
      <c r="AZ46" s="23"/>
      <c r="BA46" s="23"/>
      <c r="BB46" s="8">
        <f>SUM(Tabla143[[#This Row],[Enero ]:[Dic]])</f>
        <v>1</v>
      </c>
      <c r="BC46" s="17">
        <f t="shared" si="3"/>
        <v>0.5</v>
      </c>
      <c r="BD46" s="17">
        <f t="shared" si="9"/>
        <v>0.125</v>
      </c>
      <c r="BE46" s="74"/>
      <c r="BF46" s="74"/>
      <c r="BG46" s="74"/>
      <c r="BH46" s="74">
        <v>1</v>
      </c>
      <c r="BI46" s="8" t="s">
        <v>505</v>
      </c>
      <c r="BJ46" s="8" t="s">
        <v>119</v>
      </c>
      <c r="BK46" s="8" t="s">
        <v>169</v>
      </c>
      <c r="BL46" s="8" t="s">
        <v>123</v>
      </c>
    </row>
    <row r="47" spans="1:64" x14ac:dyDescent="0.35">
      <c r="A47" s="138"/>
      <c r="B47" s="138"/>
      <c r="C47" s="127"/>
      <c r="D47" s="128"/>
      <c r="E47" s="127"/>
      <c r="F47" s="128"/>
      <c r="G47" s="128"/>
      <c r="H47" s="128"/>
      <c r="I47" s="128"/>
      <c r="J47" s="128"/>
      <c r="K47" s="128"/>
      <c r="L47" s="128"/>
      <c r="M47" s="128"/>
      <c r="N47" s="128"/>
      <c r="O47" s="128"/>
      <c r="P47" s="128"/>
      <c r="Q47" s="129"/>
      <c r="R47" s="130"/>
      <c r="S47" s="130"/>
      <c r="T47" s="130"/>
      <c r="U47" s="129"/>
      <c r="V47" s="131"/>
      <c r="W47" s="127"/>
      <c r="X47" s="127"/>
      <c r="Y47" s="127"/>
      <c r="Z47" s="127"/>
      <c r="AA47" s="148"/>
      <c r="AB47" s="127"/>
      <c r="AC47" s="127"/>
      <c r="AD47" s="139"/>
      <c r="AE47" s="139"/>
      <c r="AF47" s="127"/>
      <c r="AG47" s="128"/>
      <c r="AH47" s="137"/>
      <c r="AI47" s="128"/>
      <c r="AJ47" s="128"/>
      <c r="AK47" s="137"/>
      <c r="AL47" s="128"/>
      <c r="AM47" s="128"/>
      <c r="AN47" s="128"/>
      <c r="AO47" s="128"/>
      <c r="AP47" s="143"/>
      <c r="AQ47" s="143"/>
      <c r="AR47" s="143"/>
      <c r="AS47" s="144"/>
      <c r="AT47" s="144"/>
      <c r="AU47" s="144"/>
      <c r="AV47" s="144"/>
      <c r="AW47" s="144"/>
      <c r="AX47" s="144"/>
      <c r="AY47" s="144"/>
      <c r="AZ47" s="144"/>
      <c r="BA47" s="144"/>
      <c r="BB47" s="143"/>
      <c r="BC47" s="145"/>
      <c r="BD47" s="146">
        <f>SUM(BD43:BD46)</f>
        <v>0.40625</v>
      </c>
      <c r="BE47" s="136"/>
      <c r="BF47" s="136"/>
      <c r="BG47" s="136"/>
      <c r="BH47" s="136"/>
      <c r="BI47" s="137"/>
      <c r="BJ47" s="137"/>
      <c r="BK47" s="137"/>
      <c r="BL47" s="137"/>
    </row>
    <row r="48" spans="1:64" x14ac:dyDescent="0.35">
      <c r="R48" s="60"/>
      <c r="S48" s="60"/>
      <c r="T48" s="60"/>
      <c r="AS48" s="77"/>
      <c r="AT48" s="77"/>
      <c r="AU48" s="77"/>
      <c r="AV48" s="77"/>
      <c r="AW48" s="77"/>
      <c r="AX48" s="77"/>
      <c r="AY48" s="77"/>
      <c r="AZ48" s="77"/>
      <c r="BA48" s="77"/>
    </row>
    <row r="49" spans="1:62" hidden="1" x14ac:dyDescent="0.35">
      <c r="R49" s="60"/>
      <c r="S49" s="60"/>
      <c r="T49" s="60"/>
      <c r="AS49" s="77"/>
      <c r="AT49" s="77"/>
      <c r="AU49" s="77"/>
      <c r="AV49" s="77"/>
      <c r="AW49" s="77"/>
      <c r="AX49" s="77"/>
      <c r="AY49" s="77"/>
      <c r="AZ49" s="77"/>
      <c r="BA49" s="77"/>
      <c r="BG49" s="100" t="s">
        <v>846</v>
      </c>
      <c r="BH49" s="100"/>
      <c r="BI49" s="100" t="s">
        <v>534</v>
      </c>
      <c r="BJ49" s="100" t="s">
        <v>535</v>
      </c>
    </row>
    <row r="50" spans="1:62" hidden="1" x14ac:dyDescent="0.35">
      <c r="R50" s="60"/>
      <c r="S50" s="60"/>
      <c r="T50" s="60"/>
      <c r="AS50" s="77"/>
      <c r="AT50" s="77"/>
      <c r="AU50" s="77"/>
      <c r="AV50" s="77"/>
      <c r="AW50" s="77"/>
      <c r="AX50" s="77"/>
      <c r="AY50" s="77"/>
      <c r="AZ50" s="77"/>
      <c r="BA50" s="77"/>
      <c r="BD50" s="99" t="s">
        <v>530</v>
      </c>
      <c r="BF50" s="100">
        <f>+BF10</f>
        <v>0.42195250000000001</v>
      </c>
      <c r="BG50" s="108">
        <f>BF52/BF50</f>
        <v>0.95363636363636362</v>
      </c>
      <c r="BH50" s="109"/>
      <c r="BI50" s="305">
        <v>1</v>
      </c>
    </row>
    <row r="51" spans="1:62" hidden="1" x14ac:dyDescent="0.35">
      <c r="R51" s="60"/>
      <c r="S51" s="60"/>
      <c r="T51" s="60"/>
      <c r="AS51" s="77"/>
      <c r="AT51" s="77"/>
      <c r="AU51" s="77"/>
      <c r="AV51" s="77"/>
      <c r="AW51" s="77"/>
      <c r="AX51" s="77"/>
      <c r="AY51" s="77"/>
      <c r="AZ51" s="77"/>
      <c r="BA51" s="77"/>
      <c r="BD51" s="101" t="s">
        <v>526</v>
      </c>
      <c r="BF51" s="104">
        <f>BF50*(AVERAGE(BG10:BH46))</f>
        <v>0.38282599545454549</v>
      </c>
    </row>
    <row r="52" spans="1:62" hidden="1" x14ac:dyDescent="0.35">
      <c r="R52" s="60"/>
      <c r="S52" s="60"/>
      <c r="T52" s="60"/>
      <c r="AS52" s="77"/>
      <c r="AT52" s="77"/>
      <c r="AU52" s="77"/>
      <c r="AV52" s="77"/>
      <c r="AW52" s="77"/>
      <c r="AX52" s="77"/>
      <c r="AY52" s="77"/>
      <c r="AZ52" s="77"/>
      <c r="BA52" s="77"/>
      <c r="BD52" t="s">
        <v>531</v>
      </c>
      <c r="BF52" s="103">
        <f>AVERAGE(BF50:BF51)</f>
        <v>0.40238924772727275</v>
      </c>
    </row>
    <row r="53" spans="1:62" hidden="1" x14ac:dyDescent="0.35">
      <c r="R53" s="60"/>
      <c r="S53" s="60"/>
      <c r="T53" s="60"/>
      <c r="AS53" s="77"/>
      <c r="AT53" s="77"/>
      <c r="AU53" s="77"/>
      <c r="AV53" s="77"/>
      <c r="AW53" s="77"/>
      <c r="AX53" s="77"/>
      <c r="AY53" s="77"/>
      <c r="AZ53" s="77"/>
      <c r="BA53" s="77"/>
    </row>
    <row r="54" spans="1:62" x14ac:dyDescent="0.35">
      <c r="A54" s="54" t="s">
        <v>4</v>
      </c>
      <c r="B54" s="323" t="s">
        <v>468</v>
      </c>
      <c r="C54" s="324"/>
      <c r="D54" s="58"/>
    </row>
    <row r="55" spans="1:62" ht="76" customHeight="1" x14ac:dyDescent="0.35">
      <c r="A55" s="41" t="s">
        <v>5</v>
      </c>
      <c r="B55" s="310"/>
      <c r="C55" s="311"/>
    </row>
    <row r="56" spans="1:62" x14ac:dyDescent="0.35">
      <c r="A56" s="6"/>
      <c r="B56" s="6"/>
    </row>
    <row r="58" spans="1:62" x14ac:dyDescent="0.35">
      <c r="A58" s="59"/>
      <c r="B58" s="59"/>
    </row>
    <row r="59" spans="1:62" x14ac:dyDescent="0.35">
      <c r="A59" s="59" t="s">
        <v>546</v>
      </c>
      <c r="B59" s="59"/>
    </row>
    <row r="60" spans="1:62" x14ac:dyDescent="0.35">
      <c r="A60" s="1" t="s">
        <v>1</v>
      </c>
    </row>
  </sheetData>
  <mergeCells count="17">
    <mergeCell ref="B54:C54"/>
    <mergeCell ref="B55:C55"/>
    <mergeCell ref="L7:P8"/>
    <mergeCell ref="Q7:T8"/>
    <mergeCell ref="E7:J8"/>
    <mergeCell ref="U7:V8"/>
    <mergeCell ref="W7:Z8"/>
    <mergeCell ref="AB7:AE8"/>
    <mergeCell ref="AF7:AI8"/>
    <mergeCell ref="AK7:AO8"/>
    <mergeCell ref="AP7:BA7"/>
    <mergeCell ref="BI7:BL8"/>
    <mergeCell ref="AP8:AR8"/>
    <mergeCell ref="AS8:AU8"/>
    <mergeCell ref="AV8:AX8"/>
    <mergeCell ref="AY8:BA8"/>
    <mergeCell ref="BB7:BH8"/>
  </mergeCells>
  <dataValidations count="1">
    <dataValidation type="textLength" showInputMessage="1" showErrorMessage="1" promptTitle="CARACTERES PERMITIDOS EN EL ASE" prompt="La extensión del texto no debe superar 90 caracteres." sqref="AB10:AB12 AC16:AC18 AB34:AB39 AB45:AB47 AF25:AF28 AB15:AB31 AC30 AC34" xr:uid="{D80B1E7D-DC09-4022-A515-BC157FDB145E}">
      <formula1>0</formula1>
      <formula2>90</formula2>
    </dataValidation>
  </dataValidations>
  <pageMargins left="0.7" right="0.7" top="0.75" bottom="0.75" header="0.3" footer="0.3"/>
  <pageSetup orientation="portrait" r:id="rId1"/>
  <ignoredErrors>
    <ignoredError sqref="BD10"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39BC-4F8D-4377-8A85-BC882796BA84}">
  <dimension ref="A1:BN34"/>
  <sheetViews>
    <sheetView showGridLines="0" zoomScale="60" zoomScaleNormal="60" workbookViewId="0">
      <selection activeCell="BC2" sqref="BC1:BH104857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s="101" customFormat="1" ht="104.25" customHeight="1" x14ac:dyDescent="0.35">
      <c r="A1" s="185"/>
      <c r="B1" s="314" t="s">
        <v>467</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6" t="s">
        <v>536</v>
      </c>
      <c r="B4" s="107">
        <v>0</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6" t="s">
        <v>537</v>
      </c>
      <c r="B5" s="107">
        <v>0</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12" t="s">
        <v>48</v>
      </c>
      <c r="B7" s="312"/>
      <c r="C7" s="312"/>
      <c r="D7" s="312"/>
      <c r="E7" s="312"/>
      <c r="F7" s="312"/>
      <c r="G7" s="312"/>
      <c r="H7" s="312"/>
      <c r="I7" s="312"/>
      <c r="J7" s="312"/>
      <c r="K7" s="110"/>
      <c r="L7" s="315" t="s">
        <v>52</v>
      </c>
      <c r="M7" s="316"/>
      <c r="N7" s="316"/>
      <c r="O7" s="316"/>
      <c r="P7" s="317"/>
      <c r="Q7" s="312" t="s">
        <v>27</v>
      </c>
      <c r="R7" s="312"/>
      <c r="S7" s="312"/>
      <c r="T7" s="312"/>
      <c r="U7" s="312" t="s">
        <v>41</v>
      </c>
      <c r="V7" s="312"/>
      <c r="W7" s="315" t="s">
        <v>10</v>
      </c>
      <c r="X7" s="316"/>
      <c r="Y7" s="316"/>
      <c r="Z7" s="317"/>
      <c r="AA7" s="111"/>
      <c r="AB7" s="316"/>
      <c r="AC7" s="316"/>
      <c r="AD7" s="316"/>
      <c r="AE7" s="317"/>
      <c r="AF7" s="315" t="s">
        <v>49</v>
      </c>
      <c r="AG7" s="316"/>
      <c r="AH7" s="316"/>
      <c r="AI7" s="317"/>
      <c r="AJ7" s="111"/>
      <c r="AK7" s="315" t="s">
        <v>21</v>
      </c>
      <c r="AL7" s="316"/>
      <c r="AM7" s="316"/>
      <c r="AN7" s="316"/>
      <c r="AO7" s="317"/>
      <c r="AP7" s="328" t="s">
        <v>27</v>
      </c>
      <c r="AQ7" s="329"/>
      <c r="AR7" s="329"/>
      <c r="AS7" s="329"/>
      <c r="AT7" s="329"/>
      <c r="AU7" s="329"/>
      <c r="AV7" s="329"/>
      <c r="AW7" s="329"/>
      <c r="AX7" s="329"/>
      <c r="AY7" s="329"/>
      <c r="AZ7" s="329"/>
      <c r="BA7" s="329"/>
      <c r="BB7" s="330" t="s">
        <v>41</v>
      </c>
      <c r="BC7" s="331"/>
      <c r="BD7" s="331"/>
      <c r="BE7" s="331"/>
      <c r="BF7" s="331"/>
      <c r="BG7" s="331"/>
      <c r="BH7" s="332"/>
      <c r="BI7" s="321"/>
      <c r="BJ7" s="321"/>
      <c r="BK7" s="321"/>
      <c r="BL7" s="321"/>
    </row>
    <row r="8" spans="1:64" ht="30.65" customHeight="1" x14ac:dyDescent="0.35">
      <c r="A8" s="312"/>
      <c r="B8" s="312"/>
      <c r="C8" s="312"/>
      <c r="D8" s="312"/>
      <c r="E8" s="312"/>
      <c r="F8" s="312"/>
      <c r="G8" s="312"/>
      <c r="H8" s="312"/>
      <c r="I8" s="312"/>
      <c r="J8" s="312"/>
      <c r="K8" s="112"/>
      <c r="L8" s="318"/>
      <c r="M8" s="319"/>
      <c r="N8" s="319"/>
      <c r="O8" s="319"/>
      <c r="P8" s="320"/>
      <c r="Q8" s="312"/>
      <c r="R8" s="312"/>
      <c r="S8" s="312"/>
      <c r="T8" s="312"/>
      <c r="U8" s="312"/>
      <c r="V8" s="312"/>
      <c r="W8" s="318"/>
      <c r="X8" s="319"/>
      <c r="Y8" s="319"/>
      <c r="Z8" s="320"/>
      <c r="AA8" s="113"/>
      <c r="AB8" s="319"/>
      <c r="AC8" s="319"/>
      <c r="AD8" s="319"/>
      <c r="AE8" s="320"/>
      <c r="AF8" s="318"/>
      <c r="AG8" s="319"/>
      <c r="AH8" s="319"/>
      <c r="AI8" s="320"/>
      <c r="AJ8" s="113"/>
      <c r="AK8" s="318"/>
      <c r="AL8" s="319"/>
      <c r="AM8" s="319"/>
      <c r="AN8" s="319"/>
      <c r="AO8" s="320"/>
      <c r="AP8" s="325" t="s">
        <v>22</v>
      </c>
      <c r="AQ8" s="326"/>
      <c r="AR8" s="326"/>
      <c r="AS8" s="325" t="s">
        <v>23</v>
      </c>
      <c r="AT8" s="326"/>
      <c r="AU8" s="327"/>
      <c r="AV8" s="325" t="s">
        <v>24</v>
      </c>
      <c r="AW8" s="326"/>
      <c r="AX8" s="327"/>
      <c r="AY8" s="325" t="s">
        <v>25</v>
      </c>
      <c r="AZ8" s="326"/>
      <c r="BA8" s="326"/>
      <c r="BB8" s="318"/>
      <c r="BC8" s="319"/>
      <c r="BD8" s="319"/>
      <c r="BE8" s="319"/>
      <c r="BF8" s="319"/>
      <c r="BG8" s="319"/>
      <c r="BH8" s="320"/>
      <c r="BI8" s="322"/>
      <c r="BJ8" s="322"/>
      <c r="BK8" s="322"/>
      <c r="BL8" s="322"/>
    </row>
    <row r="9" spans="1:64" ht="105.65" customHeight="1" x14ac:dyDescent="0.35">
      <c r="A9" s="114" t="s">
        <v>7</v>
      </c>
      <c r="B9" s="114" t="s">
        <v>8</v>
      </c>
      <c r="C9" s="114" t="s">
        <v>9</v>
      </c>
      <c r="D9" s="115" t="s">
        <v>532</v>
      </c>
      <c r="E9" s="115" t="s">
        <v>50</v>
      </c>
      <c r="F9" s="116" t="s">
        <v>541</v>
      </c>
      <c r="G9" s="116" t="s">
        <v>542</v>
      </c>
      <c r="H9" s="116" t="s">
        <v>14</v>
      </c>
      <c r="I9" s="116" t="s">
        <v>64</v>
      </c>
      <c r="J9" s="116" t="s">
        <v>16</v>
      </c>
      <c r="K9" s="116" t="s">
        <v>543</v>
      </c>
      <c r="L9" s="117" t="s">
        <v>22</v>
      </c>
      <c r="M9" s="117" t="s">
        <v>23</v>
      </c>
      <c r="N9" s="117" t="s">
        <v>24</v>
      </c>
      <c r="O9" s="117" t="s">
        <v>25</v>
      </c>
      <c r="P9" s="118" t="s">
        <v>26</v>
      </c>
      <c r="Q9" s="117" t="s">
        <v>53</v>
      </c>
      <c r="R9" s="117" t="s">
        <v>54</v>
      </c>
      <c r="S9" s="117" t="s">
        <v>43</v>
      </c>
      <c r="T9" s="117" t="s">
        <v>55</v>
      </c>
      <c r="U9" s="117" t="s">
        <v>46</v>
      </c>
      <c r="V9" s="117" t="s">
        <v>51</v>
      </c>
      <c r="W9" s="114" t="s">
        <v>0</v>
      </c>
      <c r="X9" s="114" t="s">
        <v>2</v>
      </c>
      <c r="Y9" s="117" t="s">
        <v>11</v>
      </c>
      <c r="Z9" s="117" t="s">
        <v>12</v>
      </c>
      <c r="AA9" s="117" t="s">
        <v>544</v>
      </c>
      <c r="AB9" s="114" t="s">
        <v>17</v>
      </c>
      <c r="AC9" s="114" t="s">
        <v>6</v>
      </c>
      <c r="AD9" s="116" t="s">
        <v>18</v>
      </c>
      <c r="AE9" s="116" t="s">
        <v>19</v>
      </c>
      <c r="AF9" s="115" t="s">
        <v>13</v>
      </c>
      <c r="AG9" s="116" t="s">
        <v>57</v>
      </c>
      <c r="AH9" s="116" t="s">
        <v>15</v>
      </c>
      <c r="AI9" s="116" t="s">
        <v>58</v>
      </c>
      <c r="AJ9" s="116" t="s">
        <v>545</v>
      </c>
      <c r="AK9" s="119" t="s">
        <v>42</v>
      </c>
      <c r="AL9" s="119" t="s">
        <v>59</v>
      </c>
      <c r="AM9" s="119" t="s">
        <v>60</v>
      </c>
      <c r="AN9" s="119" t="s">
        <v>44</v>
      </c>
      <c r="AO9" s="120" t="s">
        <v>61</v>
      </c>
      <c r="AP9" s="121" t="s">
        <v>28</v>
      </c>
      <c r="AQ9" s="121" t="s">
        <v>29</v>
      </c>
      <c r="AR9" s="121" t="s">
        <v>30</v>
      </c>
      <c r="AS9" s="121" t="s">
        <v>31</v>
      </c>
      <c r="AT9" s="121" t="s">
        <v>32</v>
      </c>
      <c r="AU9" s="121" t="s">
        <v>33</v>
      </c>
      <c r="AV9" s="121" t="s">
        <v>34</v>
      </c>
      <c r="AW9" s="121" t="s">
        <v>35</v>
      </c>
      <c r="AX9" s="121" t="s">
        <v>36</v>
      </c>
      <c r="AY9" s="121" t="s">
        <v>37</v>
      </c>
      <c r="AZ9" s="121" t="s">
        <v>38</v>
      </c>
      <c r="BA9" s="121" t="s">
        <v>39</v>
      </c>
      <c r="BB9" s="117" t="s">
        <v>40</v>
      </c>
      <c r="BC9" s="117" t="s">
        <v>45</v>
      </c>
      <c r="BD9" s="117" t="s">
        <v>528</v>
      </c>
      <c r="BE9" s="117" t="s">
        <v>527</v>
      </c>
      <c r="BF9" s="117" t="s">
        <v>529</v>
      </c>
      <c r="BG9" s="117" t="s">
        <v>524</v>
      </c>
      <c r="BH9" s="117" t="s">
        <v>525</v>
      </c>
      <c r="BI9" s="117" t="s">
        <v>504</v>
      </c>
      <c r="BJ9" s="117" t="s">
        <v>512</v>
      </c>
      <c r="BK9" s="117" t="s">
        <v>3</v>
      </c>
      <c r="BL9" s="117" t="s">
        <v>56</v>
      </c>
    </row>
    <row r="10" spans="1:64" ht="220.5" customHeight="1" x14ac:dyDescent="0.35">
      <c r="A10" s="54" t="s">
        <v>115</v>
      </c>
      <c r="B10" s="54" t="s">
        <v>116</v>
      </c>
      <c r="C10" s="41" t="s">
        <v>117</v>
      </c>
      <c r="D10" s="25">
        <v>1</v>
      </c>
      <c r="E10" s="41" t="s">
        <v>428</v>
      </c>
      <c r="F10" s="25">
        <v>1</v>
      </c>
      <c r="G10" s="37" t="s">
        <v>65</v>
      </c>
      <c r="H10" s="8" t="s">
        <v>429</v>
      </c>
      <c r="I10" s="8">
        <v>3</v>
      </c>
      <c r="J10" s="8" t="s">
        <v>87</v>
      </c>
      <c r="K10" s="37" t="s">
        <v>65</v>
      </c>
      <c r="L10" s="8"/>
      <c r="M10" s="8">
        <v>1</v>
      </c>
      <c r="N10" s="8">
        <v>1</v>
      </c>
      <c r="O10" s="8">
        <v>1</v>
      </c>
      <c r="P10" s="8">
        <f>SUM(Tabla1434[[#This Row],[TRIM I]:[TRIM IV]])</f>
        <v>3</v>
      </c>
      <c r="Q10" s="8"/>
      <c r="R10" s="19"/>
      <c r="S10" s="19"/>
      <c r="T10" s="19"/>
      <c r="U10" s="8">
        <f>SUM(Tabla1434[[#This Row],[TRIM I    ]:[TRIM IV    ]])</f>
        <v>0</v>
      </c>
      <c r="V10" s="25">
        <f>IFERROR(IF(P10=0,"",IF((U10/P10)&gt;100%,100%,(U10/P10))),"")</f>
        <v>0</v>
      </c>
      <c r="W10" s="41" t="s">
        <v>363</v>
      </c>
      <c r="X10" s="41" t="s">
        <v>364</v>
      </c>
      <c r="Y10" s="8" t="s">
        <v>65</v>
      </c>
      <c r="Z10" s="8" t="s">
        <v>65</v>
      </c>
      <c r="AA10" s="37">
        <v>0.2</v>
      </c>
      <c r="AB10" s="41" t="s">
        <v>365</v>
      </c>
      <c r="AC10" s="243" t="s">
        <v>366</v>
      </c>
      <c r="AD10" s="49">
        <v>44986</v>
      </c>
      <c r="AE10" s="50">
        <v>45289</v>
      </c>
      <c r="AF10" s="41" t="s">
        <v>367</v>
      </c>
      <c r="AG10" s="8" t="s">
        <v>293</v>
      </c>
      <c r="AH10" s="55">
        <v>0.85</v>
      </c>
      <c r="AI10" s="8" t="s">
        <v>259</v>
      </c>
      <c r="AJ10" s="37" t="s">
        <v>65</v>
      </c>
      <c r="AK10" s="53">
        <v>0</v>
      </c>
      <c r="AL10" s="55">
        <v>0.7</v>
      </c>
      <c r="AM10" s="55">
        <v>0.75</v>
      </c>
      <c r="AN10" s="55">
        <v>0.85</v>
      </c>
      <c r="AO10" s="55">
        <v>0.85</v>
      </c>
      <c r="AP10" s="55"/>
      <c r="AQ10" s="55"/>
      <c r="AR10" s="55"/>
      <c r="AS10" s="69"/>
      <c r="AT10" s="69"/>
      <c r="AU10" s="69"/>
      <c r="AV10" s="69"/>
      <c r="AW10" s="69"/>
      <c r="AX10" s="69"/>
      <c r="AY10" s="69"/>
      <c r="AZ10" s="69"/>
      <c r="BA10" s="69"/>
      <c r="BB10" s="55">
        <f>+Tabla1434[[#This Row],[Junio]]</f>
        <v>0</v>
      </c>
      <c r="BC10" s="25">
        <f>IFERROR(IF(AO10=0,"",IF((BB10/AO10)&gt;100%,100%,(BB10/AO10))),"")</f>
        <v>0</v>
      </c>
      <c r="BD10" s="25">
        <f t="shared" ref="BD10:BD16" si="0">IFERROR(BC10*AA10,"")</f>
        <v>0</v>
      </c>
      <c r="BE10" s="25">
        <f>Tabla1434[[#Totals],[Avance ponderado de la actividad]]*Tabla1434[[#This Row],[Peso porcentual de la Meta de Objetivo]]</f>
        <v>0</v>
      </c>
      <c r="BF10" s="25">
        <f>Tabla1434[[#This Row],[Avance ponderado frente a la meta de objetivo]]*Tabla1434[[#This Row],[Peso Porcentual del Objetivo Estratégico]]</f>
        <v>0</v>
      </c>
      <c r="BG10" s="25">
        <v>0</v>
      </c>
      <c r="BH10" s="25">
        <v>0</v>
      </c>
      <c r="BI10" s="8" t="s">
        <v>505</v>
      </c>
      <c r="BJ10" s="28" t="s">
        <v>518</v>
      </c>
      <c r="BK10" s="28" t="s">
        <v>289</v>
      </c>
      <c r="BL10" s="28" t="s">
        <v>290</v>
      </c>
    </row>
    <row r="11" spans="1:64" s="244" customFormat="1" ht="285.75" customHeight="1" x14ac:dyDescent="0.35">
      <c r="A11" s="54" t="s">
        <v>115</v>
      </c>
      <c r="B11" s="54" t="s">
        <v>116</v>
      </c>
      <c r="C11" s="41" t="s">
        <v>117</v>
      </c>
      <c r="D11" s="245"/>
      <c r="E11" s="41" t="s">
        <v>428</v>
      </c>
      <c r="F11" s="41"/>
      <c r="G11" s="41"/>
      <c r="H11" s="246"/>
      <c r="I11" s="247"/>
      <c r="J11" s="246"/>
      <c r="K11" s="246"/>
      <c r="L11" s="247"/>
      <c r="M11" s="247"/>
      <c r="N11" s="247"/>
      <c r="O11" s="247"/>
      <c r="P11" s="246"/>
      <c r="Q11" s="248"/>
      <c r="R11" s="249"/>
      <c r="S11" s="249"/>
      <c r="T11" s="249"/>
      <c r="U11" s="248"/>
      <c r="V11" s="248"/>
      <c r="W11" s="41" t="s">
        <v>363</v>
      </c>
      <c r="X11" s="41" t="s">
        <v>364</v>
      </c>
      <c r="Y11" s="8" t="s">
        <v>65</v>
      </c>
      <c r="Z11" s="8" t="s">
        <v>65</v>
      </c>
      <c r="AA11" s="37">
        <v>0.1</v>
      </c>
      <c r="AB11" s="41" t="s">
        <v>368</v>
      </c>
      <c r="AC11" s="41" t="s">
        <v>430</v>
      </c>
      <c r="AD11" s="49">
        <v>44986</v>
      </c>
      <c r="AE11" s="50">
        <v>45289</v>
      </c>
      <c r="AF11" s="41" t="s">
        <v>367</v>
      </c>
      <c r="AG11" s="8" t="s">
        <v>293</v>
      </c>
      <c r="AH11" s="55">
        <v>0.63</v>
      </c>
      <c r="AI11" s="8" t="s">
        <v>259</v>
      </c>
      <c r="AJ11" s="37" t="s">
        <v>65</v>
      </c>
      <c r="AK11" s="53">
        <v>0</v>
      </c>
      <c r="AL11" s="55">
        <v>0.55000000000000004</v>
      </c>
      <c r="AM11" s="55">
        <v>0.6</v>
      </c>
      <c r="AN11" s="55">
        <v>0.63</v>
      </c>
      <c r="AO11" s="55">
        <v>0.63</v>
      </c>
      <c r="AP11" s="55"/>
      <c r="AQ11" s="55"/>
      <c r="AR11" s="55"/>
      <c r="AS11" s="69"/>
      <c r="AT11" s="69"/>
      <c r="AU11" s="69"/>
      <c r="AV11" s="69"/>
      <c r="AW11" s="69"/>
      <c r="AX11" s="69"/>
      <c r="AY11" s="69"/>
      <c r="AZ11" s="69"/>
      <c r="BA11" s="69"/>
      <c r="BB11" s="55">
        <f>+Tabla1434[[#This Row],[Junio]]</f>
        <v>0</v>
      </c>
      <c r="BC11" s="25">
        <f t="shared" ref="BC11:BC16" si="1">IFERROR(IF(AO11=0,"",IF((BB11/AO11)&gt;100%,100%,(BB11/AO11))),"")</f>
        <v>0</v>
      </c>
      <c r="BD11" s="25">
        <f t="shared" si="0"/>
        <v>0</v>
      </c>
      <c r="BE11" s="25"/>
      <c r="BF11" s="25"/>
      <c r="BG11" s="25"/>
      <c r="BH11" s="25">
        <v>0</v>
      </c>
      <c r="BI11" s="8" t="s">
        <v>505</v>
      </c>
      <c r="BJ11" s="28" t="s">
        <v>518</v>
      </c>
      <c r="BK11" s="28" t="s">
        <v>289</v>
      </c>
      <c r="BL11" s="28" t="s">
        <v>290</v>
      </c>
    </row>
    <row r="12" spans="1:64" s="187" customFormat="1" ht="316.5" hidden="1" customHeight="1" x14ac:dyDescent="0.35">
      <c r="A12" s="188" t="s">
        <v>115</v>
      </c>
      <c r="B12" s="188" t="s">
        <v>116</v>
      </c>
      <c r="C12" s="171" t="s">
        <v>117</v>
      </c>
      <c r="D12" s="171"/>
      <c r="E12" s="171" t="s">
        <v>428</v>
      </c>
      <c r="F12" s="171"/>
      <c r="G12" s="171"/>
      <c r="H12" s="173"/>
      <c r="I12" s="173"/>
      <c r="J12" s="173"/>
      <c r="K12" s="173"/>
      <c r="L12" s="173"/>
      <c r="M12" s="173"/>
      <c r="N12" s="173"/>
      <c r="O12" s="173"/>
      <c r="P12" s="173"/>
      <c r="Q12" s="180"/>
      <c r="R12" s="181"/>
      <c r="S12" s="181"/>
      <c r="T12" s="181"/>
      <c r="U12" s="180"/>
      <c r="V12" s="180"/>
      <c r="W12" s="171" t="s">
        <v>363</v>
      </c>
      <c r="X12" s="171" t="s">
        <v>364</v>
      </c>
      <c r="Y12" s="173" t="s">
        <v>65</v>
      </c>
      <c r="Z12" s="173" t="s">
        <v>65</v>
      </c>
      <c r="AA12" s="172">
        <v>0.2</v>
      </c>
      <c r="AB12" s="171" t="s">
        <v>453</v>
      </c>
      <c r="AC12" s="189" t="s">
        <v>369</v>
      </c>
      <c r="AD12" s="176">
        <v>44986</v>
      </c>
      <c r="AE12" s="177">
        <v>45289</v>
      </c>
      <c r="AF12" s="171" t="s">
        <v>367</v>
      </c>
      <c r="AG12" s="173" t="s">
        <v>293</v>
      </c>
      <c r="AH12" s="182">
        <v>0.65</v>
      </c>
      <c r="AI12" s="173" t="s">
        <v>259</v>
      </c>
      <c r="AJ12" s="172" t="s">
        <v>65</v>
      </c>
      <c r="AK12" s="178">
        <v>0</v>
      </c>
      <c r="AL12" s="182">
        <v>0.53</v>
      </c>
      <c r="AM12" s="182">
        <v>0.6</v>
      </c>
      <c r="AN12" s="182">
        <v>0.65</v>
      </c>
      <c r="AO12" s="182">
        <v>0.65</v>
      </c>
      <c r="AP12" s="182"/>
      <c r="AQ12" s="182"/>
      <c r="AR12" s="182"/>
      <c r="AS12" s="191"/>
      <c r="AT12" s="191"/>
      <c r="AU12" s="191"/>
      <c r="AV12" s="191"/>
      <c r="AW12" s="191"/>
      <c r="AX12" s="191"/>
      <c r="AY12" s="191"/>
      <c r="AZ12" s="191"/>
      <c r="BA12" s="191"/>
      <c r="BB12" s="182">
        <f>+Tabla1434[[#This Row],[Junio]]</f>
        <v>0</v>
      </c>
      <c r="BC12" s="175">
        <f t="shared" si="1"/>
        <v>0</v>
      </c>
      <c r="BD12" s="175">
        <f t="shared" si="0"/>
        <v>0</v>
      </c>
      <c r="BE12" s="175"/>
      <c r="BF12" s="175"/>
      <c r="BG12" s="175"/>
      <c r="BH12" s="179"/>
      <c r="BI12" s="173" t="s">
        <v>505</v>
      </c>
      <c r="BJ12" s="190" t="s">
        <v>518</v>
      </c>
      <c r="BK12" s="190" t="s">
        <v>289</v>
      </c>
      <c r="BL12" s="190" t="s">
        <v>290</v>
      </c>
    </row>
    <row r="13" spans="1:64" ht="339.75" customHeight="1" x14ac:dyDescent="0.35">
      <c r="A13" s="54" t="s">
        <v>115</v>
      </c>
      <c r="B13" s="54" t="s">
        <v>116</v>
      </c>
      <c r="C13" s="41" t="s">
        <v>117</v>
      </c>
      <c r="D13" s="41"/>
      <c r="E13" s="41" t="s">
        <v>428</v>
      </c>
      <c r="F13" s="41"/>
      <c r="G13" s="41"/>
      <c r="H13" s="8"/>
      <c r="I13" s="37"/>
      <c r="J13" s="8"/>
      <c r="K13" s="8"/>
      <c r="L13" s="37"/>
      <c r="M13" s="37"/>
      <c r="N13" s="37"/>
      <c r="O13" s="37"/>
      <c r="P13" s="8"/>
      <c r="Q13" s="36"/>
      <c r="R13" s="20"/>
      <c r="S13" s="20"/>
      <c r="T13" s="20"/>
      <c r="U13" s="36"/>
      <c r="V13" s="36"/>
      <c r="W13" s="41" t="s">
        <v>363</v>
      </c>
      <c r="X13" s="41" t="s">
        <v>364</v>
      </c>
      <c r="Y13" s="8" t="s">
        <v>65</v>
      </c>
      <c r="Z13" s="8" t="s">
        <v>65</v>
      </c>
      <c r="AA13" s="37">
        <v>0.1</v>
      </c>
      <c r="AB13" s="41" t="s">
        <v>370</v>
      </c>
      <c r="AC13" s="41" t="s">
        <v>371</v>
      </c>
      <c r="AD13" s="49">
        <v>44986</v>
      </c>
      <c r="AE13" s="50">
        <v>45289</v>
      </c>
      <c r="AF13" s="41" t="s">
        <v>367</v>
      </c>
      <c r="AG13" s="8" t="s">
        <v>293</v>
      </c>
      <c r="AH13" s="55">
        <v>0.6</v>
      </c>
      <c r="AI13" s="8" t="s">
        <v>259</v>
      </c>
      <c r="AJ13" s="37" t="s">
        <v>65</v>
      </c>
      <c r="AK13" s="53">
        <v>0</v>
      </c>
      <c r="AL13" s="55">
        <v>0.53</v>
      </c>
      <c r="AM13" s="55">
        <v>0.56000000000000005</v>
      </c>
      <c r="AN13" s="55">
        <v>0.6</v>
      </c>
      <c r="AO13" s="55">
        <v>0.6</v>
      </c>
      <c r="AP13" s="55"/>
      <c r="AQ13" s="55"/>
      <c r="AR13" s="55"/>
      <c r="AS13" s="69"/>
      <c r="AT13" s="69"/>
      <c r="AU13" s="69"/>
      <c r="AV13" s="69"/>
      <c r="AW13" s="69"/>
      <c r="AX13" s="69"/>
      <c r="AY13" s="69"/>
      <c r="AZ13" s="69"/>
      <c r="BA13" s="69"/>
      <c r="BB13" s="55">
        <f>+Tabla1434[[#This Row],[Junio]]</f>
        <v>0</v>
      </c>
      <c r="BC13" s="25">
        <f t="shared" si="1"/>
        <v>0</v>
      </c>
      <c r="BD13" s="25">
        <f t="shared" si="0"/>
        <v>0</v>
      </c>
      <c r="BE13" s="25"/>
      <c r="BF13" s="25"/>
      <c r="BG13" s="25"/>
      <c r="BH13" s="25">
        <v>0</v>
      </c>
      <c r="BI13" s="8" t="s">
        <v>505</v>
      </c>
      <c r="BJ13" s="28" t="s">
        <v>518</v>
      </c>
      <c r="BK13" s="28" t="s">
        <v>289</v>
      </c>
      <c r="BL13" s="28" t="s">
        <v>290</v>
      </c>
    </row>
    <row r="14" spans="1:64" ht="358.5" customHeight="1" x14ac:dyDescent="0.35">
      <c r="A14" s="54" t="s">
        <v>115</v>
      </c>
      <c r="B14" s="54" t="s">
        <v>116</v>
      </c>
      <c r="C14" s="41" t="s">
        <v>117</v>
      </c>
      <c r="D14" s="41"/>
      <c r="E14" s="41" t="s">
        <v>428</v>
      </c>
      <c r="F14" s="41"/>
      <c r="G14" s="41"/>
      <c r="H14" s="8"/>
      <c r="I14" s="8"/>
      <c r="J14" s="8"/>
      <c r="K14" s="8"/>
      <c r="L14" s="8"/>
      <c r="M14" s="8"/>
      <c r="N14" s="8"/>
      <c r="O14" s="8"/>
      <c r="P14" s="8"/>
      <c r="Q14" s="36"/>
      <c r="R14" s="20"/>
      <c r="S14" s="20"/>
      <c r="T14" s="20"/>
      <c r="U14" s="36"/>
      <c r="V14" s="36"/>
      <c r="W14" s="41" t="s">
        <v>363</v>
      </c>
      <c r="X14" s="41" t="s">
        <v>364</v>
      </c>
      <c r="Y14" s="8" t="s">
        <v>65</v>
      </c>
      <c r="Z14" s="8" t="s">
        <v>65</v>
      </c>
      <c r="AA14" s="37">
        <v>0.1</v>
      </c>
      <c r="AB14" s="41" t="s">
        <v>454</v>
      </c>
      <c r="AC14" s="41" t="s">
        <v>455</v>
      </c>
      <c r="AD14" s="49">
        <v>44986</v>
      </c>
      <c r="AE14" s="50">
        <v>45289</v>
      </c>
      <c r="AF14" s="41" t="s">
        <v>367</v>
      </c>
      <c r="AG14" s="8" t="s">
        <v>293</v>
      </c>
      <c r="AH14" s="55">
        <v>0.65</v>
      </c>
      <c r="AI14" s="8" t="s">
        <v>259</v>
      </c>
      <c r="AJ14" s="37" t="s">
        <v>65</v>
      </c>
      <c r="AK14" s="53">
        <v>0</v>
      </c>
      <c r="AL14" s="55">
        <v>0.55000000000000004</v>
      </c>
      <c r="AM14" s="55">
        <v>0.6</v>
      </c>
      <c r="AN14" s="55">
        <v>0.65</v>
      </c>
      <c r="AO14" s="55">
        <v>0.65</v>
      </c>
      <c r="AP14" s="55"/>
      <c r="AQ14" s="55"/>
      <c r="AR14" s="55"/>
      <c r="AS14" s="69"/>
      <c r="AT14" s="69"/>
      <c r="AU14" s="69"/>
      <c r="AV14" s="69"/>
      <c r="AW14" s="69"/>
      <c r="AX14" s="69"/>
      <c r="AY14" s="69"/>
      <c r="AZ14" s="69"/>
      <c r="BA14" s="69"/>
      <c r="BB14" s="55">
        <f>+Tabla1434[[#This Row],[Junio]]</f>
        <v>0</v>
      </c>
      <c r="BC14" s="25">
        <f t="shared" si="1"/>
        <v>0</v>
      </c>
      <c r="BD14" s="25">
        <f t="shared" si="0"/>
        <v>0</v>
      </c>
      <c r="BE14" s="25"/>
      <c r="BF14" s="25"/>
      <c r="BG14" s="25"/>
      <c r="BH14" s="25">
        <v>0</v>
      </c>
      <c r="BI14" s="8" t="s">
        <v>505</v>
      </c>
      <c r="BJ14" s="28" t="s">
        <v>518</v>
      </c>
      <c r="BK14" s="28" t="s">
        <v>289</v>
      </c>
      <c r="BL14" s="28" t="s">
        <v>290</v>
      </c>
    </row>
    <row r="15" spans="1:64" ht="360.75" customHeight="1" x14ac:dyDescent="0.35">
      <c r="A15" s="54" t="s">
        <v>115</v>
      </c>
      <c r="B15" s="54" t="s">
        <v>116</v>
      </c>
      <c r="C15" s="41" t="s">
        <v>117</v>
      </c>
      <c r="D15" s="41"/>
      <c r="E15" s="41" t="s">
        <v>428</v>
      </c>
      <c r="F15" s="41"/>
      <c r="G15" s="41"/>
      <c r="H15" s="8"/>
      <c r="I15" s="8"/>
      <c r="J15" s="8"/>
      <c r="K15" s="8"/>
      <c r="L15" s="8"/>
      <c r="M15" s="8"/>
      <c r="N15" s="8"/>
      <c r="O15" s="8"/>
      <c r="P15" s="8"/>
      <c r="Q15" s="36"/>
      <c r="R15" s="20"/>
      <c r="S15" s="20"/>
      <c r="T15" s="20"/>
      <c r="U15" s="36"/>
      <c r="V15" s="36"/>
      <c r="W15" s="41" t="s">
        <v>363</v>
      </c>
      <c r="X15" s="41" t="s">
        <v>364</v>
      </c>
      <c r="Y15" s="8" t="s">
        <v>65</v>
      </c>
      <c r="Z15" s="8" t="s">
        <v>65</v>
      </c>
      <c r="AA15" s="37">
        <v>0.1</v>
      </c>
      <c r="AB15" s="41" t="s">
        <v>372</v>
      </c>
      <c r="AC15" s="41" t="s">
        <v>373</v>
      </c>
      <c r="AD15" s="49">
        <v>44986</v>
      </c>
      <c r="AE15" s="50">
        <v>45289</v>
      </c>
      <c r="AF15" s="41" t="s">
        <v>367</v>
      </c>
      <c r="AG15" s="8" t="s">
        <v>293</v>
      </c>
      <c r="AH15" s="55">
        <v>0.4</v>
      </c>
      <c r="AI15" s="8" t="s">
        <v>259</v>
      </c>
      <c r="AJ15" s="37" t="s">
        <v>65</v>
      </c>
      <c r="AK15" s="53">
        <v>0</v>
      </c>
      <c r="AL15" s="55">
        <v>0.3</v>
      </c>
      <c r="AM15" s="55">
        <v>0.35</v>
      </c>
      <c r="AN15" s="55">
        <v>0.4</v>
      </c>
      <c r="AO15" s="55">
        <v>0.4</v>
      </c>
      <c r="AP15" s="55"/>
      <c r="AQ15" s="55"/>
      <c r="AR15" s="55"/>
      <c r="AS15" s="69"/>
      <c r="AT15" s="69"/>
      <c r="AU15" s="69"/>
      <c r="AV15" s="69"/>
      <c r="AW15" s="69"/>
      <c r="AX15" s="69"/>
      <c r="AY15" s="69"/>
      <c r="AZ15" s="69"/>
      <c r="BA15" s="69"/>
      <c r="BB15" s="55">
        <f>+Tabla1434[[#This Row],[Junio]]</f>
        <v>0</v>
      </c>
      <c r="BC15" s="25">
        <f t="shared" si="1"/>
        <v>0</v>
      </c>
      <c r="BD15" s="25">
        <f t="shared" si="0"/>
        <v>0</v>
      </c>
      <c r="BE15" s="25"/>
      <c r="BF15" s="25"/>
      <c r="BG15" s="25"/>
      <c r="BH15" s="25">
        <v>0</v>
      </c>
      <c r="BI15" s="8" t="s">
        <v>505</v>
      </c>
      <c r="BJ15" s="28" t="s">
        <v>518</v>
      </c>
      <c r="BK15" s="28" t="s">
        <v>289</v>
      </c>
      <c r="BL15" s="28" t="s">
        <v>290</v>
      </c>
    </row>
    <row r="16" spans="1:64" ht="243.75" customHeight="1" x14ac:dyDescent="0.35">
      <c r="A16" s="54" t="s">
        <v>115</v>
      </c>
      <c r="B16" s="54" t="s">
        <v>116</v>
      </c>
      <c r="C16" s="41" t="s">
        <v>117</v>
      </c>
      <c r="D16" s="41"/>
      <c r="E16" s="41" t="s">
        <v>428</v>
      </c>
      <c r="F16" s="41"/>
      <c r="G16" s="41"/>
      <c r="H16" s="8"/>
      <c r="I16" s="8"/>
      <c r="J16" s="8"/>
      <c r="K16" s="8"/>
      <c r="L16" s="8"/>
      <c r="M16" s="8"/>
      <c r="N16" s="8"/>
      <c r="O16" s="8"/>
      <c r="P16" s="8"/>
      <c r="Q16" s="36"/>
      <c r="R16" s="20"/>
      <c r="S16" s="20"/>
      <c r="T16" s="20"/>
      <c r="U16" s="36"/>
      <c r="V16" s="36"/>
      <c r="W16" s="41" t="s">
        <v>363</v>
      </c>
      <c r="X16" s="41" t="s">
        <v>364</v>
      </c>
      <c r="Y16" s="8" t="s">
        <v>65</v>
      </c>
      <c r="Z16" s="8" t="s">
        <v>65</v>
      </c>
      <c r="AA16" s="37">
        <v>0.2</v>
      </c>
      <c r="AB16" s="41" t="s">
        <v>374</v>
      </c>
      <c r="AC16" s="41" t="s">
        <v>375</v>
      </c>
      <c r="AD16" s="49">
        <v>44986</v>
      </c>
      <c r="AE16" s="50">
        <v>45289</v>
      </c>
      <c r="AF16" s="41" t="s">
        <v>367</v>
      </c>
      <c r="AG16" s="8" t="s">
        <v>293</v>
      </c>
      <c r="AH16" s="55">
        <v>0.3</v>
      </c>
      <c r="AI16" s="8" t="s">
        <v>259</v>
      </c>
      <c r="AJ16" s="37" t="s">
        <v>65</v>
      </c>
      <c r="AK16" s="53">
        <v>0</v>
      </c>
      <c r="AL16" s="55">
        <v>0.1</v>
      </c>
      <c r="AM16" s="55">
        <v>0.2</v>
      </c>
      <c r="AN16" s="55">
        <v>0.3</v>
      </c>
      <c r="AO16" s="55">
        <v>0.3</v>
      </c>
      <c r="AP16" s="55"/>
      <c r="AQ16" s="55"/>
      <c r="AR16" s="55"/>
      <c r="AS16" s="69"/>
      <c r="AT16" s="69"/>
      <c r="AU16" s="69"/>
      <c r="AV16" s="69"/>
      <c r="AW16" s="69"/>
      <c r="AX16" s="69"/>
      <c r="AY16" s="69"/>
      <c r="AZ16" s="69"/>
      <c r="BA16" s="69"/>
      <c r="BB16" s="55">
        <f>+Tabla1434[[#This Row],[Junio]]</f>
        <v>0</v>
      </c>
      <c r="BC16" s="25">
        <f t="shared" si="1"/>
        <v>0</v>
      </c>
      <c r="BD16" s="25">
        <f t="shared" si="0"/>
        <v>0</v>
      </c>
      <c r="BE16" s="25"/>
      <c r="BF16" s="25"/>
      <c r="BG16" s="25"/>
      <c r="BH16" s="25">
        <v>0</v>
      </c>
      <c r="BI16" s="8" t="s">
        <v>505</v>
      </c>
      <c r="BJ16" s="28" t="s">
        <v>518</v>
      </c>
      <c r="BK16" s="28" t="s">
        <v>289</v>
      </c>
      <c r="BL16" s="28" t="s">
        <v>290</v>
      </c>
    </row>
    <row r="17" spans="1:66" ht="243.75" customHeight="1" x14ac:dyDescent="0.35">
      <c r="A17" s="54" t="s">
        <v>115</v>
      </c>
      <c r="B17" s="54" t="s">
        <v>116</v>
      </c>
      <c r="C17" s="41" t="s">
        <v>117</v>
      </c>
      <c r="D17" s="299"/>
      <c r="E17" s="41" t="s">
        <v>836</v>
      </c>
      <c r="F17" s="299">
        <v>0.3</v>
      </c>
      <c r="G17" s="48" t="s">
        <v>477</v>
      </c>
      <c r="H17" s="57" t="s">
        <v>86</v>
      </c>
      <c r="I17" s="27">
        <v>1</v>
      </c>
      <c r="J17" s="57" t="s">
        <v>555</v>
      </c>
      <c r="K17" s="57" t="s">
        <v>556</v>
      </c>
      <c r="L17" s="57"/>
      <c r="M17" s="57"/>
      <c r="N17" s="57"/>
      <c r="O17" s="57">
        <v>1</v>
      </c>
      <c r="P17" s="57">
        <v>1</v>
      </c>
      <c r="Q17" s="234"/>
      <c r="R17" s="235"/>
      <c r="S17" s="235"/>
      <c r="T17" s="235"/>
      <c r="U17" s="234"/>
      <c r="V17" s="234"/>
      <c r="W17" s="41" t="s">
        <v>363</v>
      </c>
      <c r="X17" s="41" t="s">
        <v>364</v>
      </c>
      <c r="Y17" s="8" t="s">
        <v>65</v>
      </c>
      <c r="Z17" s="8" t="s">
        <v>65</v>
      </c>
      <c r="AA17" s="47">
        <v>0.4</v>
      </c>
      <c r="AB17" s="41" t="s">
        <v>837</v>
      </c>
      <c r="AC17" s="48" t="s">
        <v>838</v>
      </c>
      <c r="AD17" s="300">
        <v>45134</v>
      </c>
      <c r="AE17" s="258">
        <v>45289</v>
      </c>
      <c r="AF17" s="41" t="s">
        <v>739</v>
      </c>
      <c r="AG17" s="8" t="s">
        <v>839</v>
      </c>
      <c r="AH17" s="301">
        <v>1</v>
      </c>
      <c r="AI17" s="57" t="s">
        <v>628</v>
      </c>
      <c r="AJ17" s="57" t="s">
        <v>840</v>
      </c>
      <c r="AK17" s="237"/>
      <c r="AL17" s="238"/>
      <c r="AM17" s="238"/>
      <c r="AN17" s="301">
        <v>1</v>
      </c>
      <c r="AO17" s="301">
        <v>1</v>
      </c>
      <c r="AP17" s="238"/>
      <c r="AQ17" s="238"/>
      <c r="AR17" s="238"/>
      <c r="AS17" s="239"/>
      <c r="AT17" s="239"/>
      <c r="AU17" s="239"/>
      <c r="AV17" s="239"/>
      <c r="AW17" s="239"/>
      <c r="AX17" s="239"/>
      <c r="AY17" s="239"/>
      <c r="AZ17" s="239"/>
      <c r="BA17" s="239"/>
      <c r="BB17" s="238"/>
      <c r="BC17" s="68"/>
      <c r="BD17" s="68"/>
      <c r="BE17" s="25"/>
      <c r="BF17" s="25"/>
      <c r="BG17" s="25"/>
      <c r="BH17" s="25"/>
      <c r="BI17" s="8" t="s">
        <v>92</v>
      </c>
      <c r="BJ17" s="240" t="s">
        <v>841</v>
      </c>
      <c r="BK17" s="28" t="s">
        <v>296</v>
      </c>
      <c r="BL17" s="28" t="s">
        <v>297</v>
      </c>
    </row>
    <row r="18" spans="1:66" ht="243.75" customHeight="1" x14ac:dyDescent="0.35">
      <c r="A18" s="54"/>
      <c r="B18" s="54"/>
      <c r="C18" s="41"/>
      <c r="D18" s="241"/>
      <c r="E18" s="41"/>
      <c r="F18" s="241"/>
      <c r="G18" s="241"/>
      <c r="H18" s="8"/>
      <c r="I18" s="27"/>
      <c r="J18" s="8"/>
      <c r="K18" s="8"/>
      <c r="L18" s="8"/>
      <c r="M18" s="8"/>
      <c r="N18" s="8"/>
      <c r="O18" s="8"/>
      <c r="P18" s="8"/>
      <c r="Q18" s="36"/>
      <c r="R18" s="20"/>
      <c r="S18" s="20"/>
      <c r="T18" s="20"/>
      <c r="U18" s="36"/>
      <c r="V18" s="242"/>
      <c r="W18" s="41" t="s">
        <v>363</v>
      </c>
      <c r="X18" s="41" t="s">
        <v>364</v>
      </c>
      <c r="Y18" s="8" t="s">
        <v>65</v>
      </c>
      <c r="Z18" s="8" t="s">
        <v>65</v>
      </c>
      <c r="AA18" s="37">
        <v>0.3</v>
      </c>
      <c r="AB18" s="41" t="s">
        <v>842</v>
      </c>
      <c r="AC18" s="48" t="s">
        <v>843</v>
      </c>
      <c r="AD18" s="300">
        <v>45134</v>
      </c>
      <c r="AE18" s="258">
        <v>45289</v>
      </c>
      <c r="AF18" s="41" t="s">
        <v>739</v>
      </c>
      <c r="AG18" s="8" t="s">
        <v>839</v>
      </c>
      <c r="AH18" s="301">
        <v>1</v>
      </c>
      <c r="AI18" s="57" t="s">
        <v>628</v>
      </c>
      <c r="AJ18" s="57" t="s">
        <v>840</v>
      </c>
      <c r="AK18" s="53"/>
      <c r="AL18" s="55"/>
      <c r="AM18" s="238"/>
      <c r="AN18" s="301">
        <v>1</v>
      </c>
      <c r="AO18" s="301">
        <v>1</v>
      </c>
      <c r="AP18" s="55"/>
      <c r="AQ18" s="55"/>
      <c r="AR18" s="55"/>
      <c r="AS18" s="69"/>
      <c r="AT18" s="69"/>
      <c r="AU18" s="69"/>
      <c r="AV18" s="69"/>
      <c r="AW18" s="69"/>
      <c r="AX18" s="69"/>
      <c r="AY18" s="69"/>
      <c r="AZ18" s="69"/>
      <c r="BA18" s="69"/>
      <c r="BB18" s="55"/>
      <c r="BC18" s="17"/>
      <c r="BD18" s="17"/>
      <c r="BE18" s="25"/>
      <c r="BF18" s="25"/>
      <c r="BG18" s="25"/>
      <c r="BH18" s="25"/>
      <c r="BI18" s="8" t="s">
        <v>92</v>
      </c>
      <c r="BJ18" s="28" t="s">
        <v>841</v>
      </c>
      <c r="BK18" s="28" t="s">
        <v>296</v>
      </c>
      <c r="BL18" s="28" t="s">
        <v>297</v>
      </c>
    </row>
    <row r="19" spans="1:66" ht="243.75" customHeight="1" x14ac:dyDescent="0.35">
      <c r="A19" s="54"/>
      <c r="B19" s="54"/>
      <c r="C19" s="41"/>
      <c r="D19" s="241"/>
      <c r="E19" s="41"/>
      <c r="F19" s="241"/>
      <c r="G19" s="241"/>
      <c r="H19" s="8"/>
      <c r="I19" s="27"/>
      <c r="J19" s="8"/>
      <c r="K19" s="8"/>
      <c r="L19" s="8"/>
      <c r="M19" s="8"/>
      <c r="N19" s="8"/>
      <c r="O19" s="8"/>
      <c r="P19" s="8"/>
      <c r="Q19" s="36"/>
      <c r="R19" s="20"/>
      <c r="S19" s="20"/>
      <c r="T19" s="20"/>
      <c r="U19" s="36"/>
      <c r="V19" s="242"/>
      <c r="W19" s="41" t="s">
        <v>363</v>
      </c>
      <c r="X19" s="41" t="s">
        <v>364</v>
      </c>
      <c r="Y19" s="8" t="s">
        <v>65</v>
      </c>
      <c r="Z19" s="8" t="s">
        <v>65</v>
      </c>
      <c r="AA19" s="37">
        <v>0.3</v>
      </c>
      <c r="AB19" s="41" t="s">
        <v>844</v>
      </c>
      <c r="AC19" s="243" t="s">
        <v>845</v>
      </c>
      <c r="AD19" s="300">
        <v>45134</v>
      </c>
      <c r="AE19" s="258">
        <v>45289</v>
      </c>
      <c r="AF19" s="41" t="s">
        <v>739</v>
      </c>
      <c r="AG19" s="8" t="s">
        <v>839</v>
      </c>
      <c r="AH19" s="301">
        <v>1</v>
      </c>
      <c r="AI19" s="57" t="s">
        <v>628</v>
      </c>
      <c r="AJ19" s="57" t="s">
        <v>840</v>
      </c>
      <c r="AK19" s="53"/>
      <c r="AL19" s="55"/>
      <c r="AM19" s="238"/>
      <c r="AN19" s="301">
        <v>1</v>
      </c>
      <c r="AO19" s="301">
        <v>1</v>
      </c>
      <c r="AP19" s="55"/>
      <c r="AQ19" s="55"/>
      <c r="AR19" s="55"/>
      <c r="AS19" s="69"/>
      <c r="AT19" s="69"/>
      <c r="AU19" s="69"/>
      <c r="AV19" s="69"/>
      <c r="AW19" s="69"/>
      <c r="AX19" s="69"/>
      <c r="AY19" s="69"/>
      <c r="AZ19" s="69"/>
      <c r="BA19" s="69"/>
      <c r="BB19" s="55"/>
      <c r="BC19" s="17"/>
      <c r="BD19" s="17"/>
      <c r="BE19" s="302"/>
      <c r="BF19" s="302"/>
      <c r="BG19" s="302"/>
      <c r="BH19" s="302"/>
      <c r="BI19" s="8" t="s">
        <v>92</v>
      </c>
      <c r="BJ19" s="28" t="s">
        <v>841</v>
      </c>
      <c r="BK19" s="28" t="s">
        <v>296</v>
      </c>
      <c r="BL19" s="28" t="s">
        <v>297</v>
      </c>
    </row>
    <row r="20" spans="1:66" x14ac:dyDescent="0.35">
      <c r="A20" s="162"/>
      <c r="B20" s="162"/>
      <c r="C20" s="163"/>
      <c r="D20" s="163"/>
      <c r="E20" s="163"/>
      <c r="F20" s="163"/>
      <c r="G20" s="163"/>
      <c r="H20" s="164"/>
      <c r="I20" s="164"/>
      <c r="J20" s="164"/>
      <c r="K20" s="164"/>
      <c r="L20" s="164"/>
      <c r="M20" s="164"/>
      <c r="N20" s="164"/>
      <c r="O20" s="164"/>
      <c r="P20" s="164"/>
      <c r="Q20" s="165"/>
      <c r="R20" s="165"/>
      <c r="S20" s="165"/>
      <c r="T20" s="165"/>
      <c r="U20" s="165"/>
      <c r="V20" s="165"/>
      <c r="W20" s="163"/>
      <c r="X20" s="163"/>
      <c r="Y20" s="164"/>
      <c r="Z20" s="164"/>
      <c r="AA20" s="164"/>
      <c r="AB20" s="163"/>
      <c r="AC20" s="162"/>
      <c r="AD20" s="166"/>
      <c r="AE20" s="166"/>
      <c r="AF20" s="162"/>
      <c r="AG20" s="166"/>
      <c r="AH20" s="166"/>
      <c r="AI20" s="166"/>
      <c r="AJ20" s="166"/>
      <c r="AK20" s="166"/>
      <c r="AL20" s="166"/>
      <c r="AM20" s="166"/>
      <c r="AN20" s="166"/>
      <c r="AO20" s="166"/>
      <c r="AP20" s="167"/>
      <c r="AQ20" s="167"/>
      <c r="AR20" s="167"/>
      <c r="AS20" s="168"/>
      <c r="AT20" s="168"/>
      <c r="AU20" s="168"/>
      <c r="AV20" s="168"/>
      <c r="AW20" s="168"/>
      <c r="AX20" s="168"/>
      <c r="AY20" s="168"/>
      <c r="AZ20" s="168"/>
      <c r="BA20" s="168"/>
      <c r="BB20" s="167"/>
      <c r="BC20" s="167"/>
      <c r="BD20" s="160">
        <f>BD16+BD15+BD14+BD13+BD12+BD11+BD10</f>
        <v>0</v>
      </c>
      <c r="BE20" s="167"/>
      <c r="BF20" s="167"/>
      <c r="BG20" s="167"/>
      <c r="BH20" s="167"/>
      <c r="BI20" s="166"/>
      <c r="BJ20" s="166"/>
      <c r="BK20" s="166"/>
      <c r="BL20" s="169"/>
      <c r="BM20" s="78"/>
      <c r="BN20" s="78"/>
    </row>
    <row r="21" spans="1:66" x14ac:dyDescent="0.35">
      <c r="AC21" s="6"/>
      <c r="AD21" s="13"/>
      <c r="AE21" s="14"/>
      <c r="AF21" s="6"/>
      <c r="AG21" s="7"/>
      <c r="AH21" s="15"/>
      <c r="AI21" s="7"/>
      <c r="AJ21" s="7"/>
      <c r="AL21" s="15"/>
      <c r="AM21" s="15"/>
      <c r="AN21" s="15"/>
      <c r="AO21" s="15"/>
      <c r="BI21" s="16"/>
      <c r="BJ21" s="16"/>
      <c r="BK21" s="16"/>
      <c r="BL21" s="16"/>
    </row>
    <row r="22" spans="1:66" hidden="1" x14ac:dyDescent="0.35">
      <c r="AC22" s="6"/>
      <c r="AD22" s="13"/>
      <c r="AE22" s="14"/>
      <c r="AF22" s="6"/>
      <c r="AG22" s="7"/>
      <c r="AH22" s="15"/>
      <c r="AI22" s="7"/>
      <c r="AJ22" s="7"/>
      <c r="AL22" s="15"/>
      <c r="AM22" s="15"/>
      <c r="AN22" s="15"/>
      <c r="AO22" s="15"/>
      <c r="BG22" s="100" t="s">
        <v>846</v>
      </c>
      <c r="BH22" s="100"/>
      <c r="BI22" s="100" t="s">
        <v>534</v>
      </c>
      <c r="BJ22" s="100" t="s">
        <v>535</v>
      </c>
      <c r="BK22" s="16"/>
      <c r="BL22" s="16"/>
    </row>
    <row r="23" spans="1:66" hidden="1" x14ac:dyDescent="0.35">
      <c r="AC23" s="6"/>
      <c r="AD23" s="13"/>
      <c r="AE23" s="14"/>
      <c r="AF23" s="6"/>
      <c r="AG23" s="7"/>
      <c r="AH23" s="15"/>
      <c r="AI23" s="7"/>
      <c r="AJ23" s="7"/>
      <c r="AL23" s="15"/>
      <c r="AM23" s="15"/>
      <c r="AN23" s="15"/>
      <c r="AO23" s="15"/>
      <c r="BD23" s="99" t="s">
        <v>530</v>
      </c>
      <c r="BF23" s="100">
        <f>+BF10</f>
        <v>0</v>
      </c>
      <c r="BG23" s="108" t="e">
        <f>BF25/BF23</f>
        <v>#DIV/0!</v>
      </c>
      <c r="BH23" s="109"/>
      <c r="BI23" s="304" t="s">
        <v>65</v>
      </c>
      <c r="BJ23" s="16"/>
      <c r="BK23" s="16"/>
      <c r="BL23" s="16"/>
    </row>
    <row r="24" spans="1:66" hidden="1" x14ac:dyDescent="0.35">
      <c r="AC24" s="6"/>
      <c r="AD24" s="13"/>
      <c r="AE24" s="14"/>
      <c r="AF24" s="6"/>
      <c r="AG24" s="7"/>
      <c r="AH24" s="15"/>
      <c r="AI24" s="7"/>
      <c r="AJ24" s="7"/>
      <c r="AL24" s="15"/>
      <c r="AM24" s="15"/>
      <c r="AN24" s="15"/>
      <c r="AO24" s="15"/>
      <c r="BD24" s="101" t="s">
        <v>526</v>
      </c>
      <c r="BF24" s="104">
        <f>BF23*(AVERAGE(Tabla1434[[Reporte Oportuno Meta de Objetivo]:[Reporte Oportuno Actividad]]))</f>
        <v>0</v>
      </c>
      <c r="BI24" s="16"/>
      <c r="BJ24" s="16"/>
      <c r="BK24" s="16"/>
      <c r="BL24" s="16"/>
    </row>
    <row r="25" spans="1:66" hidden="1" x14ac:dyDescent="0.35">
      <c r="AC25" s="6"/>
      <c r="AD25" s="13"/>
      <c r="AE25" s="14"/>
      <c r="AF25" s="6"/>
      <c r="AG25" s="7"/>
      <c r="AH25" s="15"/>
      <c r="AI25" s="7"/>
      <c r="AJ25" s="7"/>
      <c r="AL25" s="15"/>
      <c r="AM25" s="15"/>
      <c r="AN25" s="15"/>
      <c r="AO25" s="15"/>
      <c r="BD25" t="s">
        <v>531</v>
      </c>
      <c r="BF25" s="103">
        <f>AVERAGE(BF23:BF24)</f>
        <v>0</v>
      </c>
      <c r="BI25" s="16"/>
      <c r="BJ25" s="16"/>
      <c r="BK25" s="16"/>
      <c r="BL25" s="16"/>
    </row>
    <row r="26" spans="1:66" hidden="1" x14ac:dyDescent="0.35">
      <c r="AC26" s="6"/>
      <c r="AD26" s="13"/>
      <c r="AE26" s="14"/>
      <c r="AF26" s="6"/>
      <c r="AG26" s="7"/>
      <c r="AH26" s="15"/>
      <c r="AI26" s="7"/>
      <c r="AJ26" s="7"/>
      <c r="AL26" s="15"/>
      <c r="AM26" s="15"/>
      <c r="AN26" s="15"/>
      <c r="AO26" s="15"/>
      <c r="BI26" s="16"/>
      <c r="BJ26" s="16"/>
      <c r="BK26" s="16"/>
      <c r="BL26" s="16"/>
    </row>
    <row r="27" spans="1:66" x14ac:dyDescent="0.35">
      <c r="A27" s="54" t="s">
        <v>4</v>
      </c>
      <c r="B27" s="323" t="s">
        <v>468</v>
      </c>
      <c r="C27" s="324"/>
      <c r="D27" s="66"/>
    </row>
    <row r="28" spans="1:66" s="1" customFormat="1" ht="76" customHeight="1" x14ac:dyDescent="0.35">
      <c r="A28" s="41" t="s">
        <v>5</v>
      </c>
      <c r="B28" s="310"/>
      <c r="C28" s="311"/>
      <c r="D28" s="7"/>
      <c r="E28" s="6"/>
      <c r="F28" s="6"/>
      <c r="G28" s="6"/>
      <c r="H28" s="7"/>
      <c r="I28" s="7"/>
      <c r="J28" s="7"/>
      <c r="K28" s="7"/>
      <c r="L28" s="7"/>
      <c r="M28" s="7"/>
      <c r="N28" s="7"/>
      <c r="O28" s="7"/>
      <c r="P28" s="7"/>
      <c r="W28" s="6"/>
      <c r="X28" s="6"/>
      <c r="Y28" s="7"/>
      <c r="Z28" s="7"/>
      <c r="AA28" s="7"/>
      <c r="AB28" s="6"/>
      <c r="AC28" s="5"/>
      <c r="AD28" s="4"/>
      <c r="AE28" s="4"/>
      <c r="AF28" s="5"/>
      <c r="AG28" s="4"/>
      <c r="AH28" s="4"/>
      <c r="AI28" s="4"/>
      <c r="AJ28" s="4"/>
      <c r="AK28" s="4"/>
      <c r="AL28" s="4"/>
      <c r="AM28" s="4"/>
      <c r="AN28" s="4"/>
      <c r="AO28" s="4"/>
      <c r="AP28"/>
      <c r="AQ28"/>
      <c r="AR28"/>
      <c r="AS28"/>
      <c r="AT28"/>
      <c r="AU28"/>
      <c r="AV28"/>
      <c r="AW28"/>
      <c r="AX28"/>
      <c r="AY28"/>
      <c r="AZ28"/>
      <c r="BA28"/>
      <c r="BB28"/>
      <c r="BC28"/>
      <c r="BD28"/>
      <c r="BE28"/>
      <c r="BF28"/>
      <c r="BG28"/>
      <c r="BH28"/>
      <c r="BI28" s="4"/>
      <c r="BJ28" s="4"/>
      <c r="BK28" s="4"/>
      <c r="BL28" s="4"/>
    </row>
    <row r="29" spans="1:66" s="1" customFormat="1" x14ac:dyDescent="0.35">
      <c r="A29" s="5"/>
      <c r="B29" s="5"/>
      <c r="C29" s="6"/>
      <c r="D29" s="6"/>
      <c r="E29" s="6"/>
      <c r="F29" s="6"/>
      <c r="G29" s="6"/>
      <c r="H29" s="7"/>
      <c r="I29" s="7"/>
      <c r="J29" s="7"/>
      <c r="K29" s="7"/>
      <c r="L29" s="7"/>
      <c r="M29" s="7"/>
      <c r="N29" s="7"/>
      <c r="O29" s="7"/>
      <c r="P29" s="7"/>
      <c r="W29" s="6"/>
      <c r="X29" s="6"/>
      <c r="Y29" s="7"/>
      <c r="Z29" s="7"/>
      <c r="AA29" s="7"/>
      <c r="AB29" s="6"/>
      <c r="AC29" s="5"/>
      <c r="AD29" s="4"/>
      <c r="AE29" s="4"/>
      <c r="AF29" s="5"/>
      <c r="AG29" s="4"/>
      <c r="AH29" s="4"/>
      <c r="AI29" s="4"/>
      <c r="AJ29" s="4"/>
      <c r="AK29" s="4"/>
      <c r="AL29" s="4"/>
      <c r="AM29" s="4"/>
      <c r="AN29" s="4"/>
      <c r="AO29" s="4"/>
      <c r="AP29"/>
      <c r="AQ29"/>
      <c r="AR29"/>
      <c r="AS29"/>
      <c r="AT29"/>
      <c r="AU29"/>
      <c r="AV29"/>
      <c r="AW29"/>
      <c r="AX29"/>
      <c r="AY29"/>
      <c r="AZ29"/>
      <c r="BA29"/>
      <c r="BB29"/>
      <c r="BC29"/>
      <c r="BD29"/>
      <c r="BE29"/>
      <c r="BF29"/>
      <c r="BG29"/>
      <c r="BH29"/>
      <c r="BI29" s="4"/>
      <c r="BJ29" s="4"/>
      <c r="BK29" s="4"/>
      <c r="BL29" s="4"/>
    </row>
    <row r="30" spans="1:66" s="1" customFormat="1" x14ac:dyDescent="0.35">
      <c r="A30" s="6"/>
      <c r="B30" s="6"/>
      <c r="C30" s="6"/>
      <c r="D30" s="6"/>
      <c r="E30" s="6"/>
      <c r="F30" s="6"/>
      <c r="G30" s="6"/>
      <c r="H30" s="7"/>
      <c r="I30" s="7"/>
      <c r="J30" s="7"/>
      <c r="K30" s="7"/>
      <c r="L30" s="7"/>
      <c r="M30" s="7"/>
      <c r="N30" s="7"/>
      <c r="O30" s="7"/>
      <c r="P30" s="7"/>
      <c r="W30" s="6"/>
      <c r="X30" s="6"/>
      <c r="Y30" s="7"/>
      <c r="Z30" s="7"/>
      <c r="AA30" s="7"/>
      <c r="AB30" s="6"/>
      <c r="AC30" s="5"/>
      <c r="AD30" s="4"/>
      <c r="AE30" s="4"/>
      <c r="AF30" s="5"/>
      <c r="AG30" s="4"/>
      <c r="AH30" s="4"/>
      <c r="AI30" s="4"/>
      <c r="AJ30" s="4"/>
      <c r="AK30" s="4"/>
      <c r="AL30" s="4"/>
      <c r="AM30" s="4"/>
      <c r="AN30" s="4"/>
      <c r="AO30" s="4"/>
      <c r="AP30"/>
      <c r="AQ30"/>
      <c r="AR30"/>
      <c r="AS30"/>
      <c r="AT30"/>
      <c r="AU30"/>
      <c r="AV30"/>
      <c r="AW30"/>
      <c r="AX30"/>
      <c r="AY30"/>
      <c r="AZ30"/>
      <c r="BA30"/>
      <c r="BB30"/>
      <c r="BC30"/>
      <c r="BD30"/>
      <c r="BE30"/>
      <c r="BF30"/>
      <c r="BG30"/>
      <c r="BH30"/>
      <c r="BI30" s="4"/>
      <c r="BJ30" s="4"/>
      <c r="BK30" s="4"/>
      <c r="BL30" s="4"/>
    </row>
    <row r="32" spans="1:66" s="1" customFormat="1" x14ac:dyDescent="0.35">
      <c r="A32" s="59"/>
      <c r="B32" s="59"/>
      <c r="C32" s="6"/>
      <c r="D32" s="6"/>
      <c r="E32" s="6"/>
      <c r="F32" s="6"/>
      <c r="G32" s="6"/>
      <c r="H32" s="7"/>
      <c r="I32" s="7"/>
      <c r="J32" s="7"/>
      <c r="K32" s="7"/>
      <c r="L32" s="7"/>
      <c r="M32" s="7"/>
      <c r="N32" s="7"/>
      <c r="O32" s="7"/>
      <c r="P32" s="7"/>
      <c r="W32" s="6"/>
      <c r="X32" s="6"/>
      <c r="Y32" s="7"/>
      <c r="Z32" s="7"/>
      <c r="AA32" s="7"/>
      <c r="AB32" s="6"/>
      <c r="AC32" s="5"/>
      <c r="AD32" s="4"/>
      <c r="AE32" s="4"/>
      <c r="AF32" s="5"/>
      <c r="AG32" s="4"/>
      <c r="AH32" s="4"/>
      <c r="AI32" s="4"/>
      <c r="AJ32" s="4"/>
      <c r="AK32" s="4"/>
      <c r="AL32" s="4"/>
      <c r="AM32" s="4"/>
      <c r="AN32" s="4"/>
      <c r="AO32" s="4"/>
      <c r="AP32"/>
      <c r="AQ32"/>
      <c r="AR32"/>
      <c r="AS32"/>
      <c r="AT32"/>
      <c r="AU32"/>
      <c r="AV32"/>
      <c r="AW32"/>
      <c r="AX32"/>
      <c r="AY32"/>
      <c r="AZ32"/>
      <c r="BA32"/>
      <c r="BB32"/>
      <c r="BC32"/>
      <c r="BD32"/>
      <c r="BE32"/>
      <c r="BF32"/>
      <c r="BG32"/>
      <c r="BH32"/>
      <c r="BI32" s="4"/>
      <c r="BJ32" s="4"/>
      <c r="BK32" s="4"/>
      <c r="BL32" s="4"/>
    </row>
    <row r="33" spans="1:64" s="1" customFormat="1" x14ac:dyDescent="0.35">
      <c r="A33" s="59" t="s">
        <v>546</v>
      </c>
      <c r="B33" s="59"/>
      <c r="C33" s="6"/>
      <c r="D33" s="6"/>
      <c r="E33" s="6"/>
      <c r="F33" s="6"/>
      <c r="G33" s="6"/>
      <c r="H33" s="7"/>
      <c r="I33" s="7"/>
      <c r="J33" s="7"/>
      <c r="K33" s="7"/>
      <c r="L33" s="7"/>
      <c r="M33" s="7"/>
      <c r="N33" s="7"/>
      <c r="O33" s="7"/>
      <c r="P33" s="7"/>
      <c r="W33" s="6"/>
      <c r="X33" s="6"/>
      <c r="Y33" s="7"/>
      <c r="Z33" s="7"/>
      <c r="AA33" s="7"/>
      <c r="AB33" s="6"/>
      <c r="AC33" s="5"/>
      <c r="AD33" s="4"/>
      <c r="AE33" s="4"/>
      <c r="AF33" s="5"/>
      <c r="AG33" s="4"/>
      <c r="AH33" s="4"/>
      <c r="AI33" s="4"/>
      <c r="AJ33" s="4"/>
      <c r="AK33" s="4"/>
      <c r="AL33" s="4"/>
      <c r="AM33" s="4"/>
      <c r="AN33" s="4"/>
      <c r="AO33" s="4"/>
      <c r="AP33"/>
      <c r="AQ33"/>
      <c r="AR33"/>
      <c r="AS33"/>
      <c r="AT33"/>
      <c r="AU33"/>
      <c r="AV33"/>
      <c r="AW33"/>
      <c r="AX33"/>
      <c r="AY33"/>
      <c r="AZ33"/>
      <c r="BA33"/>
      <c r="BB33"/>
      <c r="BC33"/>
      <c r="BD33"/>
      <c r="BE33"/>
      <c r="BF33"/>
      <c r="BG33"/>
      <c r="BH33"/>
      <c r="BI33" s="4"/>
      <c r="BJ33" s="4"/>
      <c r="BK33" s="4"/>
      <c r="BL33" s="4"/>
    </row>
    <row r="34" spans="1:64" s="1" customFormat="1" x14ac:dyDescent="0.35">
      <c r="A34" s="1" t="s">
        <v>1</v>
      </c>
      <c r="B34" s="5"/>
      <c r="C34" s="6"/>
      <c r="D34" s="6"/>
      <c r="E34" s="6"/>
      <c r="F34" s="6"/>
      <c r="G34" s="6"/>
      <c r="H34" s="7"/>
      <c r="I34" s="7"/>
      <c r="J34" s="7"/>
      <c r="K34" s="7"/>
      <c r="L34" s="7"/>
      <c r="M34" s="7"/>
      <c r="N34" s="7"/>
      <c r="O34" s="7"/>
      <c r="P34" s="7"/>
      <c r="W34" s="6"/>
      <c r="X34" s="6"/>
      <c r="Y34" s="7"/>
      <c r="Z34" s="7"/>
      <c r="AA34" s="7"/>
      <c r="AB34" s="6"/>
      <c r="AC34" s="5"/>
      <c r="AD34" s="4"/>
      <c r="AE34" s="4"/>
      <c r="AF34" s="5"/>
      <c r="AG34" s="4"/>
      <c r="AH34" s="4"/>
      <c r="AI34" s="4"/>
      <c r="AJ34" s="4"/>
      <c r="AK34" s="4"/>
      <c r="AL34" s="4"/>
      <c r="AM34" s="4"/>
      <c r="AN34" s="4"/>
      <c r="AO34" s="4"/>
      <c r="AP34"/>
      <c r="AQ34"/>
      <c r="AR34"/>
      <c r="AS34"/>
      <c r="AT34"/>
      <c r="AU34"/>
      <c r="AV34"/>
      <c r="AW34"/>
      <c r="AX34"/>
      <c r="AY34"/>
      <c r="AZ34"/>
      <c r="BA34"/>
      <c r="BB34"/>
      <c r="BC34"/>
      <c r="BD34"/>
      <c r="BE34"/>
      <c r="BF34"/>
      <c r="BG34"/>
      <c r="BH34"/>
      <c r="BI34" s="4"/>
      <c r="BJ34" s="4"/>
      <c r="BK34" s="4"/>
      <c r="BL34" s="4"/>
    </row>
  </sheetData>
  <mergeCells count="18">
    <mergeCell ref="AP8:AR8"/>
    <mergeCell ref="AS8:AU8"/>
    <mergeCell ref="AV8:AX8"/>
    <mergeCell ref="AY8:BA8"/>
    <mergeCell ref="B1:BL1"/>
    <mergeCell ref="U7:V8"/>
    <mergeCell ref="W7:Z8"/>
    <mergeCell ref="AB7:AE8"/>
    <mergeCell ref="AF7:AI8"/>
    <mergeCell ref="AK7:AO8"/>
    <mergeCell ref="AP7:BA7"/>
    <mergeCell ref="BI7:BL8"/>
    <mergeCell ref="BB7:BH8"/>
    <mergeCell ref="B27:C27"/>
    <mergeCell ref="B28:C28"/>
    <mergeCell ref="A7:J8"/>
    <mergeCell ref="L7:P8"/>
    <mergeCell ref="Q7:T8"/>
  </mergeCells>
  <dataValidations count="1">
    <dataValidation type="textLength" showInputMessage="1" showErrorMessage="1" promptTitle="CARACTERES PERMITIDOS EN EL ASE" prompt="La extensión del texto no debe superar 90 caracteres." sqref="AB21:AB26 AB10:AB19 E17" xr:uid="{BE9A7286-BE3D-47F1-845C-1E70A83B9F63}">
      <formula1>0</formula1>
      <formula2>90</formula2>
    </dataValidation>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BB20-0B8F-4EE0-9632-BECD8282803E}">
  <dimension ref="A1:BH2193"/>
  <sheetViews>
    <sheetView showGridLines="0" topLeftCell="A3" zoomScale="80" zoomScaleNormal="80" zoomScaleSheetLayoutView="38" workbookViewId="0">
      <selection activeCell="C7" sqref="C7"/>
    </sheetView>
  </sheetViews>
  <sheetFormatPr baseColWidth="10" defaultColWidth="0" defaultRowHeight="6" customHeight="1" x14ac:dyDescent="0.35"/>
  <cols>
    <col min="1" max="2" width="40.1796875" style="5" customWidth="1"/>
    <col min="3" max="3" width="44.54296875" style="6" customWidth="1"/>
    <col min="4" max="7" width="44.54296875" style="6" hidden="1" customWidth="1"/>
    <col min="8" max="11" width="44.54296875" style="7" hidden="1" customWidth="1"/>
    <col min="12" max="16" width="11.7265625" style="7" hidden="1"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56" width="16.7265625" hidden="1" customWidth="1"/>
    <col min="57" max="58" width="26" style="4" customWidth="1"/>
    <col min="59" max="60" width="25.81640625" style="4" customWidth="1"/>
    <col min="61" max="16384" width="11.453125" hidden="1"/>
  </cols>
  <sheetData>
    <row r="1" spans="1:60" ht="104.25" customHeight="1" x14ac:dyDescent="0.35">
      <c r="A1" s="38"/>
      <c r="B1" s="223"/>
      <c r="C1" s="223"/>
      <c r="D1" s="223"/>
      <c r="E1" s="223"/>
      <c r="F1" s="223"/>
      <c r="G1" s="223"/>
      <c r="H1" s="223"/>
      <c r="I1" s="223"/>
      <c r="J1" s="223"/>
      <c r="K1" s="223"/>
      <c r="L1" s="223"/>
      <c r="M1" s="223"/>
      <c r="N1" s="223"/>
      <c r="O1" s="223"/>
      <c r="P1" s="223"/>
      <c r="Q1" s="223"/>
      <c r="R1" s="223"/>
      <c r="S1" s="223"/>
      <c r="T1" s="223"/>
      <c r="U1" s="223"/>
      <c r="V1" s="223"/>
      <c r="W1" s="223"/>
      <c r="X1" s="224" t="s">
        <v>547</v>
      </c>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row>
    <row r="2" spans="1:60"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s="226" customFormat="1" ht="30.65" customHeight="1" x14ac:dyDescent="0.35">
      <c r="A3" s="339" t="s">
        <v>48</v>
      </c>
      <c r="B3" s="340"/>
      <c r="C3" s="340"/>
      <c r="D3" s="340"/>
      <c r="E3" s="340"/>
      <c r="F3" s="340"/>
      <c r="G3" s="340"/>
      <c r="H3" s="340"/>
      <c r="I3" s="340"/>
      <c r="J3" s="340"/>
      <c r="K3" s="341"/>
      <c r="L3" s="339" t="s">
        <v>52</v>
      </c>
      <c r="M3" s="340"/>
      <c r="N3" s="340"/>
      <c r="O3" s="340"/>
      <c r="P3" s="341"/>
      <c r="Q3" s="347" t="s">
        <v>27</v>
      </c>
      <c r="R3" s="347"/>
      <c r="S3" s="347"/>
      <c r="T3" s="347"/>
      <c r="U3" s="347" t="s">
        <v>41</v>
      </c>
      <c r="V3" s="347"/>
      <c r="W3" s="339" t="s">
        <v>10</v>
      </c>
      <c r="X3" s="340"/>
      <c r="Y3" s="340"/>
      <c r="Z3" s="341"/>
      <c r="AA3" s="225"/>
      <c r="AB3" s="340"/>
      <c r="AC3" s="340"/>
      <c r="AD3" s="340"/>
      <c r="AE3" s="341"/>
      <c r="AF3" s="339" t="s">
        <v>49</v>
      </c>
      <c r="AG3" s="340"/>
      <c r="AH3" s="340"/>
      <c r="AI3" s="340"/>
      <c r="AJ3" s="341"/>
      <c r="AK3" s="339" t="s">
        <v>21</v>
      </c>
      <c r="AL3" s="340"/>
      <c r="AM3" s="340"/>
      <c r="AN3" s="340"/>
      <c r="AO3" s="341"/>
      <c r="AP3" s="345" t="s">
        <v>27</v>
      </c>
      <c r="AQ3" s="346"/>
      <c r="AR3" s="346"/>
      <c r="AS3" s="346"/>
      <c r="AT3" s="346"/>
      <c r="AU3" s="346"/>
      <c r="AV3" s="346"/>
      <c r="AW3" s="346"/>
      <c r="AX3" s="346"/>
      <c r="AY3" s="346"/>
      <c r="AZ3" s="346"/>
      <c r="BA3" s="346"/>
      <c r="BB3" s="348" t="s">
        <v>41</v>
      </c>
      <c r="BC3" s="349"/>
      <c r="BD3" s="350"/>
      <c r="BE3" s="351" t="s">
        <v>548</v>
      </c>
      <c r="BF3" s="351"/>
      <c r="BG3" s="351"/>
      <c r="BH3" s="351"/>
    </row>
    <row r="4" spans="1:60" s="226" customFormat="1" ht="30.65" customHeight="1" x14ac:dyDescent="0.35">
      <c r="A4" s="342"/>
      <c r="B4" s="343"/>
      <c r="C4" s="343"/>
      <c r="D4" s="343"/>
      <c r="E4" s="343"/>
      <c r="F4" s="343"/>
      <c r="G4" s="343"/>
      <c r="H4" s="343"/>
      <c r="I4" s="343"/>
      <c r="J4" s="343"/>
      <c r="K4" s="344"/>
      <c r="L4" s="342"/>
      <c r="M4" s="343"/>
      <c r="N4" s="343"/>
      <c r="O4" s="343"/>
      <c r="P4" s="344"/>
      <c r="Q4" s="347"/>
      <c r="R4" s="347"/>
      <c r="S4" s="347"/>
      <c r="T4" s="347"/>
      <c r="U4" s="347"/>
      <c r="V4" s="347"/>
      <c r="W4" s="342"/>
      <c r="X4" s="343"/>
      <c r="Y4" s="343"/>
      <c r="Z4" s="344"/>
      <c r="AA4" s="227"/>
      <c r="AB4" s="343"/>
      <c r="AC4" s="343"/>
      <c r="AD4" s="343"/>
      <c r="AE4" s="344"/>
      <c r="AF4" s="342"/>
      <c r="AG4" s="343"/>
      <c r="AH4" s="343"/>
      <c r="AI4" s="343"/>
      <c r="AJ4" s="344"/>
      <c r="AK4" s="342"/>
      <c r="AL4" s="343"/>
      <c r="AM4" s="343"/>
      <c r="AN4" s="343"/>
      <c r="AO4" s="344"/>
      <c r="AP4" s="353" t="s">
        <v>22</v>
      </c>
      <c r="AQ4" s="354"/>
      <c r="AR4" s="354"/>
      <c r="AS4" s="353" t="s">
        <v>23</v>
      </c>
      <c r="AT4" s="354"/>
      <c r="AU4" s="355"/>
      <c r="AV4" s="353" t="s">
        <v>24</v>
      </c>
      <c r="AW4" s="354"/>
      <c r="AX4" s="355"/>
      <c r="AY4" s="353" t="s">
        <v>25</v>
      </c>
      <c r="AZ4" s="354"/>
      <c r="BA4" s="354"/>
      <c r="BB4" s="342"/>
      <c r="BC4" s="343"/>
      <c r="BD4" s="344"/>
      <c r="BE4" s="352"/>
      <c r="BF4" s="352"/>
      <c r="BG4" s="352"/>
      <c r="BH4" s="352"/>
    </row>
    <row r="5" spans="1:60" s="226" customFormat="1" ht="105.65" customHeight="1" x14ac:dyDescent="0.35">
      <c r="A5" s="228" t="s">
        <v>7</v>
      </c>
      <c r="B5" s="228" t="s">
        <v>8</v>
      </c>
      <c r="C5" s="228" t="s">
        <v>9</v>
      </c>
      <c r="D5" s="229" t="s">
        <v>549</v>
      </c>
      <c r="E5" s="229" t="s">
        <v>50</v>
      </c>
      <c r="F5" s="229" t="s">
        <v>541</v>
      </c>
      <c r="G5" s="229" t="s">
        <v>542</v>
      </c>
      <c r="H5" s="229" t="s">
        <v>14</v>
      </c>
      <c r="I5" s="229" t="s">
        <v>64</v>
      </c>
      <c r="J5" s="229" t="s">
        <v>16</v>
      </c>
      <c r="K5" s="229" t="s">
        <v>543</v>
      </c>
      <c r="L5" s="228" t="s">
        <v>22</v>
      </c>
      <c r="M5" s="228" t="s">
        <v>23</v>
      </c>
      <c r="N5" s="228" t="s">
        <v>24</v>
      </c>
      <c r="O5" s="228" t="s">
        <v>25</v>
      </c>
      <c r="P5" s="230" t="s">
        <v>26</v>
      </c>
      <c r="Q5" s="228" t="s">
        <v>53</v>
      </c>
      <c r="R5" s="228" t="s">
        <v>54</v>
      </c>
      <c r="S5" s="228" t="s">
        <v>43</v>
      </c>
      <c r="T5" s="228" t="s">
        <v>55</v>
      </c>
      <c r="U5" s="228" t="s">
        <v>46</v>
      </c>
      <c r="V5" s="228" t="s">
        <v>51</v>
      </c>
      <c r="W5" s="228" t="s">
        <v>0</v>
      </c>
      <c r="X5" s="228" t="s">
        <v>2</v>
      </c>
      <c r="Y5" s="228" t="s">
        <v>11</v>
      </c>
      <c r="Z5" s="228" t="s">
        <v>12</v>
      </c>
      <c r="AA5" s="228" t="s">
        <v>544</v>
      </c>
      <c r="AB5" s="228" t="s">
        <v>17</v>
      </c>
      <c r="AC5" s="228" t="s">
        <v>6</v>
      </c>
      <c r="AD5" s="229" t="s">
        <v>18</v>
      </c>
      <c r="AE5" s="229" t="s">
        <v>19</v>
      </c>
      <c r="AF5" s="229" t="s">
        <v>550</v>
      </c>
      <c r="AG5" s="229" t="s">
        <v>57</v>
      </c>
      <c r="AH5" s="229" t="s">
        <v>15</v>
      </c>
      <c r="AI5" s="229" t="s">
        <v>58</v>
      </c>
      <c r="AJ5" s="229" t="s">
        <v>545</v>
      </c>
      <c r="AK5" s="231" t="s">
        <v>42</v>
      </c>
      <c r="AL5" s="231" t="s">
        <v>59</v>
      </c>
      <c r="AM5" s="231" t="s">
        <v>60</v>
      </c>
      <c r="AN5" s="231" t="s">
        <v>44</v>
      </c>
      <c r="AO5" s="232" t="s">
        <v>61</v>
      </c>
      <c r="AP5" s="233" t="s">
        <v>28</v>
      </c>
      <c r="AQ5" s="233" t="s">
        <v>29</v>
      </c>
      <c r="AR5" s="233" t="s">
        <v>30</v>
      </c>
      <c r="AS5" s="233" t="s">
        <v>31</v>
      </c>
      <c r="AT5" s="233" t="s">
        <v>32</v>
      </c>
      <c r="AU5" s="233" t="s">
        <v>33</v>
      </c>
      <c r="AV5" s="233" t="s">
        <v>34</v>
      </c>
      <c r="AW5" s="233" t="s">
        <v>35</v>
      </c>
      <c r="AX5" s="233" t="s">
        <v>36</v>
      </c>
      <c r="AY5" s="233" t="s">
        <v>37</v>
      </c>
      <c r="AZ5" s="233" t="s">
        <v>38</v>
      </c>
      <c r="BA5" s="233" t="s">
        <v>39</v>
      </c>
      <c r="BB5" s="228" t="s">
        <v>40</v>
      </c>
      <c r="BC5" s="228" t="s">
        <v>45</v>
      </c>
      <c r="BD5" s="228" t="s">
        <v>526</v>
      </c>
      <c r="BE5" s="228" t="s">
        <v>504</v>
      </c>
      <c r="BF5" s="228" t="s">
        <v>512</v>
      </c>
      <c r="BG5" s="228" t="s">
        <v>3</v>
      </c>
      <c r="BH5" s="228" t="s">
        <v>56</v>
      </c>
    </row>
    <row r="6" spans="1:60" ht="101.5" x14ac:dyDescent="0.35">
      <c r="A6" s="46" t="s">
        <v>115</v>
      </c>
      <c r="B6" s="46" t="s">
        <v>116</v>
      </c>
      <c r="C6" s="48" t="s">
        <v>117</v>
      </c>
      <c r="D6" s="48"/>
      <c r="E6" s="48"/>
      <c r="F6" s="48"/>
      <c r="G6" s="48"/>
      <c r="H6" s="57"/>
      <c r="I6" s="57"/>
      <c r="J6" s="57"/>
      <c r="K6" s="57"/>
      <c r="L6" s="57"/>
      <c r="M6" s="57"/>
      <c r="N6" s="57"/>
      <c r="O6" s="57"/>
      <c r="P6" s="57"/>
      <c r="Q6" s="234"/>
      <c r="R6" s="235"/>
      <c r="S6" s="235"/>
      <c r="T6" s="235"/>
      <c r="U6" s="234"/>
      <c r="V6" s="234"/>
      <c r="W6" s="48" t="s">
        <v>65</v>
      </c>
      <c r="X6" s="48" t="s">
        <v>65</v>
      </c>
      <c r="Y6" s="57" t="s">
        <v>65</v>
      </c>
      <c r="Z6" s="57" t="s">
        <v>65</v>
      </c>
      <c r="AA6" s="47"/>
      <c r="AB6" s="41" t="s">
        <v>551</v>
      </c>
      <c r="AC6" s="48" t="s">
        <v>552</v>
      </c>
      <c r="AD6" s="49">
        <v>44986</v>
      </c>
      <c r="AE6" s="50">
        <v>45286</v>
      </c>
      <c r="AF6" s="48" t="s">
        <v>553</v>
      </c>
      <c r="AG6" s="57" t="s">
        <v>554</v>
      </c>
      <c r="AH6" s="236">
        <v>2</v>
      </c>
      <c r="AI6" s="57" t="s">
        <v>555</v>
      </c>
      <c r="AJ6" s="57" t="s">
        <v>556</v>
      </c>
      <c r="AK6" s="237"/>
      <c r="AL6" s="238"/>
      <c r="AM6" s="236">
        <v>1</v>
      </c>
      <c r="AN6" s="236">
        <v>1</v>
      </c>
      <c r="AO6" s="236">
        <v>2</v>
      </c>
      <c r="AP6" s="238"/>
      <c r="AQ6" s="238"/>
      <c r="AR6" s="238"/>
      <c r="AS6" s="239"/>
      <c r="AT6" s="239"/>
      <c r="AU6" s="239"/>
      <c r="AV6" s="239"/>
      <c r="AW6" s="239"/>
      <c r="AX6" s="239"/>
      <c r="AY6" s="239"/>
      <c r="AZ6" s="239"/>
      <c r="BA6" s="239"/>
      <c r="BB6" s="238"/>
      <c r="BC6" s="68"/>
      <c r="BD6" s="68"/>
      <c r="BE6" s="8" t="s">
        <v>505</v>
      </c>
      <c r="BF6" s="8" t="s">
        <v>92</v>
      </c>
      <c r="BG6" s="240" t="s">
        <v>557</v>
      </c>
      <c r="BH6" s="240" t="s">
        <v>558</v>
      </c>
    </row>
    <row r="7" spans="1:60" ht="130.5" x14ac:dyDescent="0.35">
      <c r="A7" s="48" t="s">
        <v>559</v>
      </c>
      <c r="B7" s="48" t="s">
        <v>560</v>
      </c>
      <c r="C7" s="48" t="s">
        <v>561</v>
      </c>
      <c r="D7" s="241"/>
      <c r="E7" s="41"/>
      <c r="F7" s="241"/>
      <c r="G7" s="241"/>
      <c r="H7" s="8"/>
      <c r="I7" s="8"/>
      <c r="J7" s="8"/>
      <c r="K7" s="8"/>
      <c r="L7" s="8"/>
      <c r="M7" s="8"/>
      <c r="N7" s="8"/>
      <c r="O7" s="8"/>
      <c r="P7" s="8"/>
      <c r="Q7" s="36"/>
      <c r="R7" s="20"/>
      <c r="S7" s="20"/>
      <c r="T7" s="20"/>
      <c r="U7" s="36"/>
      <c r="V7" s="242"/>
      <c r="W7" s="48" t="s">
        <v>65</v>
      </c>
      <c r="X7" s="48" t="s">
        <v>65</v>
      </c>
      <c r="Y7" s="57" t="s">
        <v>65</v>
      </c>
      <c r="Z7" s="57" t="s">
        <v>65</v>
      </c>
      <c r="AA7" s="37"/>
      <c r="AB7" s="41" t="s">
        <v>562</v>
      </c>
      <c r="AC7" s="243" t="s">
        <v>563</v>
      </c>
      <c r="AD7" s="49">
        <v>44986</v>
      </c>
      <c r="AE7" s="50">
        <v>45286</v>
      </c>
      <c r="AF7" s="48" t="s">
        <v>553</v>
      </c>
      <c r="AG7" s="57" t="s">
        <v>554</v>
      </c>
      <c r="AH7" s="236">
        <v>2</v>
      </c>
      <c r="AI7" s="57" t="s">
        <v>555</v>
      </c>
      <c r="AJ7" s="57" t="s">
        <v>556</v>
      </c>
      <c r="AK7" s="53"/>
      <c r="AL7" s="55"/>
      <c r="AM7" s="236">
        <v>1</v>
      </c>
      <c r="AN7" s="236">
        <v>1</v>
      </c>
      <c r="AO7" s="236">
        <v>2</v>
      </c>
      <c r="AP7" s="238"/>
      <c r="AQ7" s="238"/>
      <c r="AR7" s="238"/>
      <c r="AS7" s="239"/>
      <c r="AT7" s="239"/>
      <c r="AU7" s="239"/>
      <c r="AV7" s="239"/>
      <c r="AW7" s="239"/>
      <c r="AX7" s="239"/>
      <c r="AY7" s="239"/>
      <c r="AZ7" s="239"/>
      <c r="BA7" s="239"/>
      <c r="BB7" s="238"/>
      <c r="BC7" s="68"/>
      <c r="BD7" s="68"/>
      <c r="BE7" s="8" t="s">
        <v>505</v>
      </c>
      <c r="BF7" s="8" t="s">
        <v>92</v>
      </c>
      <c r="BG7" s="240" t="s">
        <v>557</v>
      </c>
      <c r="BH7" s="240" t="s">
        <v>557</v>
      </c>
    </row>
    <row r="8" spans="1:60" ht="130.5" x14ac:dyDescent="0.35">
      <c r="A8" s="46" t="s">
        <v>321</v>
      </c>
      <c r="B8" s="48" t="s">
        <v>322</v>
      </c>
      <c r="C8" s="41" t="s">
        <v>323</v>
      </c>
      <c r="D8" s="241"/>
      <c r="E8" s="41"/>
      <c r="F8" s="241"/>
      <c r="G8" s="241"/>
      <c r="H8" s="8"/>
      <c r="I8" s="8"/>
      <c r="J8" s="8"/>
      <c r="K8" s="8"/>
      <c r="L8" s="8"/>
      <c r="M8" s="8"/>
      <c r="N8" s="8"/>
      <c r="O8" s="8"/>
      <c r="P8" s="8"/>
      <c r="Q8" s="36"/>
      <c r="R8" s="20"/>
      <c r="S8" s="20"/>
      <c r="T8" s="20"/>
      <c r="U8" s="36"/>
      <c r="V8" s="242"/>
      <c r="W8" s="41" t="s">
        <v>160</v>
      </c>
      <c r="X8" s="41" t="s">
        <v>160</v>
      </c>
      <c r="Y8" s="8" t="s">
        <v>65</v>
      </c>
      <c r="Z8" s="8" t="s">
        <v>65</v>
      </c>
      <c r="AA8" s="37"/>
      <c r="AB8" s="41" t="s">
        <v>564</v>
      </c>
      <c r="AC8" s="243" t="s">
        <v>565</v>
      </c>
      <c r="AD8" s="49">
        <v>44986</v>
      </c>
      <c r="AE8" s="50">
        <v>45286</v>
      </c>
      <c r="AF8" s="41" t="s">
        <v>566</v>
      </c>
      <c r="AG8" s="8" t="s">
        <v>567</v>
      </c>
      <c r="AH8" s="8">
        <v>2</v>
      </c>
      <c r="AI8" s="57" t="s">
        <v>555</v>
      </c>
      <c r="AJ8" s="8" t="s">
        <v>568</v>
      </c>
      <c r="AK8" s="53"/>
      <c r="AL8" s="55"/>
      <c r="AM8" s="236">
        <v>1</v>
      </c>
      <c r="AN8" s="236">
        <v>1</v>
      </c>
      <c r="AO8" s="236">
        <v>2</v>
      </c>
      <c r="AP8" s="55"/>
      <c r="AQ8" s="55"/>
      <c r="AR8" s="55"/>
      <c r="AS8" s="69"/>
      <c r="AT8" s="69"/>
      <c r="AU8" s="69"/>
      <c r="AV8" s="69"/>
      <c r="AW8" s="69"/>
      <c r="AX8" s="69"/>
      <c r="AY8" s="69"/>
      <c r="AZ8" s="69"/>
      <c r="BA8" s="69"/>
      <c r="BB8" s="55"/>
      <c r="BC8" s="17"/>
      <c r="BD8" s="17"/>
      <c r="BE8" s="28" t="s">
        <v>308</v>
      </c>
      <c r="BF8" s="8" t="s">
        <v>329</v>
      </c>
      <c r="BG8" s="28" t="s">
        <v>569</v>
      </c>
      <c r="BH8" s="28" t="s">
        <v>570</v>
      </c>
    </row>
    <row r="9" spans="1:60" ht="130.5" x14ac:dyDescent="0.35">
      <c r="A9" s="46" t="s">
        <v>62</v>
      </c>
      <c r="B9" s="41" t="s">
        <v>63</v>
      </c>
      <c r="C9" s="41" t="s">
        <v>68</v>
      </c>
      <c r="D9" s="241"/>
      <c r="E9" s="41"/>
      <c r="F9" s="241"/>
      <c r="G9" s="241"/>
      <c r="H9" s="8"/>
      <c r="I9" s="8"/>
      <c r="J9" s="8"/>
      <c r="K9" s="8"/>
      <c r="L9" s="8"/>
      <c r="M9" s="8"/>
      <c r="N9" s="8"/>
      <c r="O9" s="8"/>
      <c r="P9" s="8"/>
      <c r="Q9" s="36"/>
      <c r="R9" s="20"/>
      <c r="S9" s="20"/>
      <c r="T9" s="20"/>
      <c r="U9" s="36"/>
      <c r="V9" s="242"/>
      <c r="W9" s="41" t="s">
        <v>210</v>
      </c>
      <c r="X9" s="41" t="s">
        <v>571</v>
      </c>
      <c r="Y9" s="57" t="s">
        <v>65</v>
      </c>
      <c r="Z9" s="57" t="s">
        <v>65</v>
      </c>
      <c r="AA9" s="37"/>
      <c r="AB9" s="41" t="s">
        <v>572</v>
      </c>
      <c r="AC9" s="243" t="s">
        <v>573</v>
      </c>
      <c r="AD9" s="49">
        <v>44986</v>
      </c>
      <c r="AE9" s="50">
        <v>45286</v>
      </c>
      <c r="AF9" s="41" t="s">
        <v>574</v>
      </c>
      <c r="AG9" s="8" t="s">
        <v>575</v>
      </c>
      <c r="AH9" s="236">
        <v>2</v>
      </c>
      <c r="AI9" s="57" t="s">
        <v>555</v>
      </c>
      <c r="AJ9" s="8" t="s">
        <v>576</v>
      </c>
      <c r="AK9" s="53"/>
      <c r="AL9" s="55"/>
      <c r="AM9" s="236">
        <v>1</v>
      </c>
      <c r="AN9" s="236">
        <v>1</v>
      </c>
      <c r="AO9" s="236">
        <v>2</v>
      </c>
      <c r="AP9" s="55"/>
      <c r="AQ9" s="55"/>
      <c r="AR9" s="55"/>
      <c r="AS9" s="69"/>
      <c r="AT9" s="69"/>
      <c r="AU9" s="69"/>
      <c r="AV9" s="69"/>
      <c r="AW9" s="69"/>
      <c r="AX9" s="69"/>
      <c r="AY9" s="69"/>
      <c r="AZ9" s="69"/>
      <c r="BA9" s="69"/>
      <c r="BB9" s="55"/>
      <c r="BC9" s="17"/>
      <c r="BD9" s="17"/>
      <c r="BE9" s="8" t="s">
        <v>505</v>
      </c>
      <c r="BF9" s="8" t="s">
        <v>100</v>
      </c>
      <c r="BG9" s="28" t="s">
        <v>577</v>
      </c>
      <c r="BH9" s="28" t="s">
        <v>577</v>
      </c>
    </row>
    <row r="10" spans="1:60" ht="87" x14ac:dyDescent="0.35">
      <c r="A10" s="54" t="s">
        <v>62</v>
      </c>
      <c r="B10" s="41" t="s">
        <v>63</v>
      </c>
      <c r="C10" s="41" t="s">
        <v>68</v>
      </c>
      <c r="D10" s="241"/>
      <c r="E10" s="41"/>
      <c r="F10" s="241"/>
      <c r="G10" s="241"/>
      <c r="H10" s="8"/>
      <c r="I10" s="8"/>
      <c r="J10" s="8"/>
      <c r="K10" s="8"/>
      <c r="L10" s="8"/>
      <c r="M10" s="8"/>
      <c r="N10" s="8"/>
      <c r="O10" s="8"/>
      <c r="P10" s="8"/>
      <c r="Q10" s="36"/>
      <c r="R10" s="20"/>
      <c r="S10" s="20"/>
      <c r="T10" s="20"/>
      <c r="U10" s="36"/>
      <c r="V10" s="242"/>
      <c r="W10" s="41" t="s">
        <v>210</v>
      </c>
      <c r="X10" s="41" t="s">
        <v>578</v>
      </c>
      <c r="Y10" s="57" t="s">
        <v>65</v>
      </c>
      <c r="Z10" s="57" t="s">
        <v>65</v>
      </c>
      <c r="AA10" s="37"/>
      <c r="AB10" s="41" t="s">
        <v>579</v>
      </c>
      <c r="AC10" s="243" t="s">
        <v>580</v>
      </c>
      <c r="AD10" s="49">
        <v>44986</v>
      </c>
      <c r="AE10" s="50">
        <v>45286</v>
      </c>
      <c r="AF10" s="41" t="s">
        <v>581</v>
      </c>
      <c r="AG10" s="8" t="s">
        <v>582</v>
      </c>
      <c r="AH10" s="8">
        <v>4</v>
      </c>
      <c r="AI10" s="57" t="s">
        <v>555</v>
      </c>
      <c r="AJ10" s="8" t="s">
        <v>583</v>
      </c>
      <c r="AK10" s="53"/>
      <c r="AL10" s="55"/>
      <c r="AM10" s="236">
        <v>2</v>
      </c>
      <c r="AN10" s="236">
        <v>2</v>
      </c>
      <c r="AO10" s="236">
        <v>4</v>
      </c>
      <c r="AP10" s="55"/>
      <c r="AQ10" s="55"/>
      <c r="AR10" s="55"/>
      <c r="AS10" s="69"/>
      <c r="AT10" s="69"/>
      <c r="AU10" s="69"/>
      <c r="AV10" s="69"/>
      <c r="AW10" s="69"/>
      <c r="AX10" s="69"/>
      <c r="AY10" s="69"/>
      <c r="AZ10" s="69"/>
      <c r="BA10" s="69"/>
      <c r="BB10" s="55"/>
      <c r="BC10" s="17"/>
      <c r="BD10" s="17"/>
      <c r="BE10" s="28" t="s">
        <v>308</v>
      </c>
      <c r="BF10" s="8" t="s">
        <v>510</v>
      </c>
      <c r="BG10" s="28" t="s">
        <v>493</v>
      </c>
      <c r="BH10" s="28" t="s">
        <v>570</v>
      </c>
    </row>
    <row r="11" spans="1:60" ht="72.5" x14ac:dyDescent="0.35">
      <c r="A11" s="46" t="s">
        <v>321</v>
      </c>
      <c r="B11" s="48" t="s">
        <v>322</v>
      </c>
      <c r="C11" s="41" t="s">
        <v>323</v>
      </c>
      <c r="D11" s="241"/>
      <c r="E11" s="41"/>
      <c r="F11" s="241"/>
      <c r="G11" s="241"/>
      <c r="H11" s="8"/>
      <c r="I11" s="8"/>
      <c r="J11" s="8"/>
      <c r="K11" s="8"/>
      <c r="L11" s="8"/>
      <c r="M11" s="8"/>
      <c r="N11" s="8"/>
      <c r="O11" s="8"/>
      <c r="P11" s="8"/>
      <c r="Q11" s="36"/>
      <c r="R11" s="20"/>
      <c r="S11" s="20"/>
      <c r="T11" s="20"/>
      <c r="U11" s="36"/>
      <c r="V11" s="242"/>
      <c r="W11" s="41" t="s">
        <v>160</v>
      </c>
      <c r="X11" s="41" t="s">
        <v>584</v>
      </c>
      <c r="Y11" s="57" t="s">
        <v>65</v>
      </c>
      <c r="Z11" s="57" t="s">
        <v>65</v>
      </c>
      <c r="AA11" s="37"/>
      <c r="AB11" s="41" t="s">
        <v>585</v>
      </c>
      <c r="AC11" s="243" t="s">
        <v>586</v>
      </c>
      <c r="AD11" s="49">
        <v>44986</v>
      </c>
      <c r="AE11" s="50">
        <v>45286</v>
      </c>
      <c r="AF11" s="41" t="s">
        <v>581</v>
      </c>
      <c r="AG11" s="8" t="s">
        <v>582</v>
      </c>
      <c r="AH11" s="8">
        <v>4</v>
      </c>
      <c r="AI11" s="57" t="s">
        <v>555</v>
      </c>
      <c r="AJ11" s="8" t="s">
        <v>583</v>
      </c>
      <c r="AK11" s="53"/>
      <c r="AL11" s="55"/>
      <c r="AM11" s="236">
        <v>2</v>
      </c>
      <c r="AN11" s="236">
        <v>2</v>
      </c>
      <c r="AO11" s="236">
        <v>4</v>
      </c>
      <c r="AP11" s="55"/>
      <c r="AQ11" s="55"/>
      <c r="AR11" s="55"/>
      <c r="AS11" s="69"/>
      <c r="AT11" s="69"/>
      <c r="AU11" s="69"/>
      <c r="AV11" s="69"/>
      <c r="AW11" s="69"/>
      <c r="AX11" s="69"/>
      <c r="AY11" s="69"/>
      <c r="AZ11" s="69"/>
      <c r="BA11" s="69"/>
      <c r="BB11" s="55"/>
      <c r="BC11" s="17"/>
      <c r="BD11" s="17"/>
      <c r="BE11" s="8" t="s">
        <v>505</v>
      </c>
      <c r="BF11" s="8" t="s">
        <v>587</v>
      </c>
      <c r="BG11" s="8" t="s">
        <v>588</v>
      </c>
      <c r="BH11" s="8" t="s">
        <v>588</v>
      </c>
    </row>
    <row r="12" spans="1:60" ht="72.5" x14ac:dyDescent="0.35">
      <c r="A12" s="46" t="s">
        <v>62</v>
      </c>
      <c r="B12" s="41" t="s">
        <v>63</v>
      </c>
      <c r="C12" s="41" t="s">
        <v>68</v>
      </c>
      <c r="D12" s="241"/>
      <c r="E12" s="41"/>
      <c r="F12" s="241"/>
      <c r="G12" s="241"/>
      <c r="H12" s="8"/>
      <c r="I12" s="8"/>
      <c r="J12" s="8"/>
      <c r="K12" s="8"/>
      <c r="L12" s="8"/>
      <c r="M12" s="8"/>
      <c r="N12" s="8"/>
      <c r="O12" s="8"/>
      <c r="P12" s="8"/>
      <c r="Q12" s="36"/>
      <c r="R12" s="20"/>
      <c r="S12" s="20"/>
      <c r="T12" s="20"/>
      <c r="U12" s="36"/>
      <c r="V12" s="242"/>
      <c r="W12" s="41" t="s">
        <v>589</v>
      </c>
      <c r="X12" s="41" t="s">
        <v>590</v>
      </c>
      <c r="Y12" s="57" t="s">
        <v>65</v>
      </c>
      <c r="Z12" s="57" t="s">
        <v>65</v>
      </c>
      <c r="AA12" s="37"/>
      <c r="AB12" s="41" t="s">
        <v>591</v>
      </c>
      <c r="AC12" s="243" t="s">
        <v>592</v>
      </c>
      <c r="AD12" s="49">
        <v>44986</v>
      </c>
      <c r="AE12" s="50">
        <v>45286</v>
      </c>
      <c r="AF12" s="41" t="s">
        <v>566</v>
      </c>
      <c r="AG12" s="8" t="s">
        <v>567</v>
      </c>
      <c r="AH12" s="8">
        <v>2</v>
      </c>
      <c r="AI12" s="57" t="s">
        <v>555</v>
      </c>
      <c r="AJ12" s="8" t="s">
        <v>568</v>
      </c>
      <c r="AK12" s="53"/>
      <c r="AL12" s="55"/>
      <c r="AM12" s="236">
        <v>1</v>
      </c>
      <c r="AN12" s="236">
        <v>1</v>
      </c>
      <c r="AO12" s="236">
        <v>2</v>
      </c>
      <c r="AP12" s="55"/>
      <c r="AQ12" s="55"/>
      <c r="AR12" s="55"/>
      <c r="AS12" s="69"/>
      <c r="AT12" s="69"/>
      <c r="AU12" s="69"/>
      <c r="AV12" s="69"/>
      <c r="AW12" s="69"/>
      <c r="AX12" s="69"/>
      <c r="AY12" s="69"/>
      <c r="AZ12" s="69"/>
      <c r="BA12" s="69"/>
      <c r="BB12" s="55"/>
      <c r="BC12" s="17"/>
      <c r="BD12" s="17"/>
      <c r="BE12" s="8" t="s">
        <v>505</v>
      </c>
      <c r="BF12" s="8" t="s">
        <v>92</v>
      </c>
      <c r="BG12" s="240" t="s">
        <v>593</v>
      </c>
      <c r="BH12" s="240" t="s">
        <v>557</v>
      </c>
    </row>
    <row r="13" spans="1:60" ht="58" x14ac:dyDescent="0.35">
      <c r="A13" s="54" t="s">
        <v>62</v>
      </c>
      <c r="B13" s="54" t="s">
        <v>63</v>
      </c>
      <c r="C13" s="41" t="s">
        <v>68</v>
      </c>
      <c r="D13" s="241"/>
      <c r="E13" s="41"/>
      <c r="F13" s="241"/>
      <c r="G13" s="241"/>
      <c r="H13" s="8"/>
      <c r="I13" s="8"/>
      <c r="J13" s="8"/>
      <c r="K13" s="8"/>
      <c r="L13" s="8"/>
      <c r="M13" s="8"/>
      <c r="N13" s="8"/>
      <c r="O13" s="8"/>
      <c r="P13" s="8"/>
      <c r="Q13" s="36"/>
      <c r="R13" s="20"/>
      <c r="S13" s="20"/>
      <c r="T13" s="20"/>
      <c r="U13" s="36"/>
      <c r="V13" s="242"/>
      <c r="W13" s="41" t="s">
        <v>594</v>
      </c>
      <c r="X13" s="41" t="s">
        <v>595</v>
      </c>
      <c r="Y13" s="57" t="s">
        <v>65</v>
      </c>
      <c r="Z13" s="57" t="s">
        <v>65</v>
      </c>
      <c r="AA13" s="37"/>
      <c r="AB13" s="41" t="s">
        <v>596</v>
      </c>
      <c r="AC13" s="243" t="s">
        <v>597</v>
      </c>
      <c r="AD13" s="49">
        <v>44986</v>
      </c>
      <c r="AE13" s="50">
        <v>45286</v>
      </c>
      <c r="AF13" s="41" t="s">
        <v>566</v>
      </c>
      <c r="AG13" s="8" t="s">
        <v>567</v>
      </c>
      <c r="AH13" s="8">
        <v>2</v>
      </c>
      <c r="AI13" s="57" t="s">
        <v>555</v>
      </c>
      <c r="AJ13" s="8" t="s">
        <v>568</v>
      </c>
      <c r="AK13" s="53"/>
      <c r="AL13" s="55"/>
      <c r="AM13" s="236">
        <v>1</v>
      </c>
      <c r="AN13" s="236">
        <v>1</v>
      </c>
      <c r="AO13" s="236">
        <v>2</v>
      </c>
      <c r="AP13" s="55"/>
      <c r="AQ13" s="55"/>
      <c r="AR13" s="55"/>
      <c r="AS13" s="69"/>
      <c r="AT13" s="69"/>
      <c r="AU13" s="69"/>
      <c r="AV13" s="69"/>
      <c r="AW13" s="69"/>
      <c r="AX13" s="69"/>
      <c r="AY13" s="69"/>
      <c r="AZ13" s="69"/>
      <c r="BA13" s="69"/>
      <c r="BB13" s="55"/>
      <c r="BC13" s="17"/>
      <c r="BD13" s="17"/>
      <c r="BE13" s="28" t="s">
        <v>308</v>
      </c>
      <c r="BF13" s="8" t="s">
        <v>329</v>
      </c>
      <c r="BG13" s="28" t="s">
        <v>598</v>
      </c>
      <c r="BH13" s="28" t="s">
        <v>570</v>
      </c>
    </row>
    <row r="14" spans="1:60" ht="87" x14ac:dyDescent="0.35">
      <c r="A14" s="46" t="s">
        <v>62</v>
      </c>
      <c r="B14" s="41" t="s">
        <v>63</v>
      </c>
      <c r="C14" s="41" t="s">
        <v>68</v>
      </c>
      <c r="D14" s="241"/>
      <c r="E14" s="41"/>
      <c r="F14" s="241"/>
      <c r="G14" s="241"/>
      <c r="H14" s="8"/>
      <c r="I14" s="8"/>
      <c r="J14" s="8"/>
      <c r="K14" s="8"/>
      <c r="L14" s="8"/>
      <c r="M14" s="8"/>
      <c r="N14" s="8"/>
      <c r="O14" s="8"/>
      <c r="P14" s="8"/>
      <c r="Q14" s="36"/>
      <c r="R14" s="20"/>
      <c r="S14" s="20"/>
      <c r="T14" s="20"/>
      <c r="U14" s="36"/>
      <c r="V14" s="242"/>
      <c r="W14" s="41" t="s">
        <v>210</v>
      </c>
      <c r="X14" s="41" t="s">
        <v>599</v>
      </c>
      <c r="Y14" s="57" t="s">
        <v>65</v>
      </c>
      <c r="Z14" s="57" t="s">
        <v>65</v>
      </c>
      <c r="AA14" s="37"/>
      <c r="AB14" s="41" t="s">
        <v>600</v>
      </c>
      <c r="AC14" s="243" t="s">
        <v>601</v>
      </c>
      <c r="AD14" s="49">
        <v>44986</v>
      </c>
      <c r="AE14" s="50">
        <v>45286</v>
      </c>
      <c r="AF14" s="41" t="s">
        <v>566</v>
      </c>
      <c r="AG14" s="8" t="s">
        <v>567</v>
      </c>
      <c r="AH14" s="8">
        <v>2</v>
      </c>
      <c r="AI14" s="57" t="s">
        <v>555</v>
      </c>
      <c r="AJ14" s="8" t="s">
        <v>568</v>
      </c>
      <c r="AK14" s="53"/>
      <c r="AL14" s="55"/>
      <c r="AM14" s="236">
        <v>1</v>
      </c>
      <c r="AN14" s="236">
        <v>1</v>
      </c>
      <c r="AO14" s="236">
        <v>2</v>
      </c>
      <c r="AP14" s="55"/>
      <c r="AQ14" s="55"/>
      <c r="AR14" s="55"/>
      <c r="AS14" s="69"/>
      <c r="AT14" s="69"/>
      <c r="AU14" s="69"/>
      <c r="AV14" s="69"/>
      <c r="AW14" s="69"/>
      <c r="AX14" s="69"/>
      <c r="AY14" s="69"/>
      <c r="AZ14" s="69"/>
      <c r="BA14" s="69"/>
      <c r="BB14" s="55"/>
      <c r="BC14" s="17"/>
      <c r="BD14" s="17"/>
      <c r="BE14" s="8" t="s">
        <v>505</v>
      </c>
      <c r="BF14" s="28" t="s">
        <v>518</v>
      </c>
      <c r="BG14" s="28" t="s">
        <v>602</v>
      </c>
      <c r="BH14" s="28" t="s">
        <v>602</v>
      </c>
    </row>
    <row r="15" spans="1:60" ht="14.5" x14ac:dyDescent="0.35">
      <c r="A15" s="54"/>
      <c r="B15" s="54"/>
      <c r="C15" s="41"/>
      <c r="D15" s="241"/>
      <c r="E15" s="41"/>
      <c r="F15" s="241"/>
      <c r="G15" s="241"/>
      <c r="H15" s="8"/>
      <c r="I15" s="8"/>
      <c r="J15" s="8"/>
      <c r="K15" s="8"/>
      <c r="L15" s="8"/>
      <c r="M15" s="8"/>
      <c r="N15" s="8"/>
      <c r="O15" s="8"/>
      <c r="P15" s="8"/>
      <c r="Q15" s="36"/>
      <c r="R15" s="20"/>
      <c r="S15" s="20"/>
      <c r="T15" s="20"/>
      <c r="U15" s="36"/>
      <c r="V15" s="242"/>
      <c r="W15" s="41"/>
      <c r="X15" s="41"/>
      <c r="Y15" s="8"/>
      <c r="Z15" s="8"/>
      <c r="AA15" s="37"/>
      <c r="AB15" s="41"/>
      <c r="AC15" s="243"/>
      <c r="AD15" s="49"/>
      <c r="AE15" s="50"/>
      <c r="AF15" s="41"/>
      <c r="AG15" s="8"/>
      <c r="AH15" s="55"/>
      <c r="AI15" s="8"/>
      <c r="AJ15" s="8"/>
      <c r="AK15" s="53"/>
      <c r="AL15" s="55"/>
      <c r="AM15" s="55"/>
      <c r="AN15" s="55"/>
      <c r="AO15" s="55"/>
      <c r="AP15" s="55"/>
      <c r="AQ15" s="55"/>
      <c r="AR15" s="55"/>
      <c r="AS15" s="69"/>
      <c r="AT15" s="69"/>
      <c r="AU15" s="69"/>
      <c r="AV15" s="69"/>
      <c r="AW15" s="69"/>
      <c r="AX15" s="69"/>
      <c r="AY15" s="69"/>
      <c r="AZ15" s="69"/>
      <c r="BA15" s="69"/>
      <c r="BB15" s="55"/>
      <c r="BC15" s="17"/>
      <c r="BD15" s="17"/>
      <c r="BE15" s="28"/>
      <c r="BF15" s="28"/>
      <c r="BG15" s="28"/>
      <c r="BH15" s="28"/>
    </row>
    <row r="16" spans="1:60" ht="14.5" x14ac:dyDescent="0.35">
      <c r="A16" s="54"/>
      <c r="B16" s="54"/>
      <c r="C16" s="41"/>
      <c r="D16" s="241"/>
      <c r="E16" s="41"/>
      <c r="F16" s="241"/>
      <c r="G16" s="241"/>
      <c r="H16" s="8"/>
      <c r="I16" s="8"/>
      <c r="J16" s="8"/>
      <c r="K16" s="8"/>
      <c r="L16" s="8"/>
      <c r="M16" s="8"/>
      <c r="N16" s="8"/>
      <c r="O16" s="8"/>
      <c r="P16" s="8"/>
      <c r="Q16" s="36"/>
      <c r="R16" s="20"/>
      <c r="S16" s="20"/>
      <c r="T16" s="20"/>
      <c r="U16" s="36"/>
      <c r="V16" s="242"/>
      <c r="W16" s="41"/>
      <c r="X16" s="41"/>
      <c r="Y16" s="8"/>
      <c r="Z16" s="8"/>
      <c r="AA16" s="37"/>
      <c r="AB16" s="41"/>
      <c r="AC16" s="243"/>
      <c r="AD16" s="49"/>
      <c r="AE16" s="50"/>
      <c r="AF16" s="41"/>
      <c r="AG16" s="8"/>
      <c r="AH16" s="55"/>
      <c r="AI16" s="8"/>
      <c r="AJ16" s="8"/>
      <c r="AK16" s="53"/>
      <c r="AL16" s="55"/>
      <c r="AM16" s="55"/>
      <c r="AN16" s="55"/>
      <c r="AO16" s="55"/>
      <c r="AP16" s="55"/>
      <c r="AQ16" s="55"/>
      <c r="AR16" s="55"/>
      <c r="AS16" s="69"/>
      <c r="AT16" s="69"/>
      <c r="AU16" s="69"/>
      <c r="AV16" s="69"/>
      <c r="AW16" s="69"/>
      <c r="AX16" s="69"/>
      <c r="AY16" s="69"/>
      <c r="AZ16" s="69"/>
      <c r="BA16" s="69"/>
      <c r="BB16" s="55"/>
      <c r="BC16" s="17"/>
      <c r="BD16" s="17"/>
      <c r="BE16" s="28"/>
      <c r="BF16" s="28"/>
      <c r="BG16" s="28"/>
      <c r="BH16" s="28"/>
    </row>
    <row r="17" spans="1:60" ht="14.5" x14ac:dyDescent="0.35">
      <c r="A17" s="54"/>
      <c r="B17" s="54"/>
      <c r="C17" s="41"/>
      <c r="D17" s="241"/>
      <c r="E17" s="41"/>
      <c r="F17" s="241"/>
      <c r="G17" s="241"/>
      <c r="H17" s="8"/>
      <c r="I17" s="8"/>
      <c r="J17" s="8"/>
      <c r="K17" s="8"/>
      <c r="L17" s="8"/>
      <c r="M17" s="8"/>
      <c r="N17" s="8"/>
      <c r="O17" s="8"/>
      <c r="P17" s="8"/>
      <c r="Q17" s="36"/>
      <c r="R17" s="20"/>
      <c r="S17" s="20"/>
      <c r="T17" s="20"/>
      <c r="U17" s="36"/>
      <c r="V17" s="242"/>
      <c r="W17" s="41"/>
      <c r="X17" s="41"/>
      <c r="Y17" s="8"/>
      <c r="Z17" s="8"/>
      <c r="AA17" s="37"/>
      <c r="AB17" s="41"/>
      <c r="AC17" s="243"/>
      <c r="AD17" s="49"/>
      <c r="AE17" s="50"/>
      <c r="AF17" s="41"/>
      <c r="AG17" s="8"/>
      <c r="AH17" s="55"/>
      <c r="AI17" s="8"/>
      <c r="AJ17" s="8"/>
      <c r="AK17" s="53"/>
      <c r="AL17" s="55"/>
      <c r="AM17" s="55"/>
      <c r="AN17" s="55"/>
      <c r="AO17" s="55"/>
      <c r="AP17" s="55"/>
      <c r="AQ17" s="55"/>
      <c r="AR17" s="55"/>
      <c r="AS17" s="69"/>
      <c r="AT17" s="69"/>
      <c r="AU17" s="69"/>
      <c r="AV17" s="69"/>
      <c r="AW17" s="69"/>
      <c r="AX17" s="69"/>
      <c r="AY17" s="69"/>
      <c r="AZ17" s="69"/>
      <c r="BA17" s="69"/>
      <c r="BB17" s="55"/>
      <c r="BC17" s="17"/>
      <c r="BD17" s="17"/>
      <c r="BE17" s="28"/>
      <c r="BF17" s="28"/>
      <c r="BG17" s="28"/>
      <c r="BH17" s="28"/>
    </row>
    <row r="18" spans="1:60" ht="14.5" x14ac:dyDescent="0.35">
      <c r="A18" s="54"/>
      <c r="B18" s="54"/>
      <c r="C18" s="41"/>
      <c r="D18" s="241"/>
      <c r="E18" s="41"/>
      <c r="F18" s="241"/>
      <c r="G18" s="241"/>
      <c r="H18" s="8"/>
      <c r="I18" s="8"/>
      <c r="J18" s="8"/>
      <c r="K18" s="8"/>
      <c r="L18" s="8"/>
      <c r="M18" s="8"/>
      <c r="N18" s="8"/>
      <c r="O18" s="8"/>
      <c r="P18" s="8"/>
      <c r="Q18" s="36"/>
      <c r="R18" s="20"/>
      <c r="S18" s="20"/>
      <c r="T18" s="20"/>
      <c r="U18" s="36"/>
      <c r="V18" s="242"/>
      <c r="W18" s="41"/>
      <c r="X18" s="41"/>
      <c r="Y18" s="8"/>
      <c r="Z18" s="8"/>
      <c r="AA18" s="37"/>
      <c r="AB18" s="41"/>
      <c r="AC18" s="243"/>
      <c r="AD18" s="49"/>
      <c r="AE18" s="50"/>
      <c r="AF18" s="41"/>
      <c r="AG18" s="8"/>
      <c r="AH18" s="55"/>
      <c r="AI18" s="8"/>
      <c r="AJ18" s="8"/>
      <c r="AK18" s="53"/>
      <c r="AL18" s="55"/>
      <c r="AM18" s="55"/>
      <c r="AN18" s="55"/>
      <c r="AO18" s="55"/>
      <c r="AP18" s="55"/>
      <c r="AQ18" s="55"/>
      <c r="AR18" s="55"/>
      <c r="AS18" s="69"/>
      <c r="AT18" s="69"/>
      <c r="AU18" s="69"/>
      <c r="AV18" s="69"/>
      <c r="AW18" s="69"/>
      <c r="AX18" s="69"/>
      <c r="AY18" s="69"/>
      <c r="AZ18" s="69"/>
      <c r="BA18" s="69"/>
      <c r="BB18" s="55"/>
      <c r="BC18" s="17"/>
      <c r="BD18" s="17"/>
      <c r="BE18" s="28"/>
      <c r="BF18" s="28"/>
      <c r="BG18" s="28"/>
      <c r="BH18" s="28"/>
    </row>
    <row r="19" spans="1:60" s="244" customFormat="1" ht="14.5" x14ac:dyDescent="0.35">
      <c r="A19" s="54"/>
      <c r="B19" s="54"/>
      <c r="C19" s="41"/>
      <c r="D19" s="241"/>
      <c r="E19" s="41"/>
      <c r="F19" s="241"/>
      <c r="G19" s="241"/>
      <c r="H19" s="8"/>
      <c r="I19" s="8"/>
      <c r="J19" s="8"/>
      <c r="K19" s="8"/>
      <c r="L19" s="8"/>
      <c r="M19" s="8"/>
      <c r="N19" s="8"/>
      <c r="O19" s="8"/>
      <c r="P19" s="8"/>
      <c r="Q19" s="36"/>
      <c r="R19" s="20"/>
      <c r="S19" s="20"/>
      <c r="T19" s="20"/>
      <c r="U19" s="36"/>
      <c r="V19" s="242"/>
      <c r="W19" s="41"/>
      <c r="X19" s="41"/>
      <c r="Y19" s="8"/>
      <c r="Z19" s="8"/>
      <c r="AA19" s="37"/>
      <c r="AB19" s="41"/>
      <c r="AC19" s="243"/>
      <c r="AD19" s="49"/>
      <c r="AE19" s="50"/>
      <c r="AF19" s="41"/>
      <c r="AG19" s="8"/>
      <c r="AH19" s="55"/>
      <c r="AI19" s="8"/>
      <c r="AJ19" s="8"/>
      <c r="AK19" s="53"/>
      <c r="AL19" s="55"/>
      <c r="AM19" s="55"/>
      <c r="AN19" s="55"/>
      <c r="AO19" s="55"/>
      <c r="AP19" s="55"/>
      <c r="AQ19" s="55"/>
      <c r="AR19" s="55"/>
      <c r="AS19" s="69"/>
      <c r="AT19" s="69"/>
      <c r="AU19" s="69"/>
      <c r="AV19" s="69"/>
      <c r="AW19" s="69"/>
      <c r="AX19" s="69"/>
      <c r="AY19" s="69"/>
      <c r="AZ19" s="69"/>
      <c r="BA19" s="69"/>
      <c r="BB19" s="55"/>
      <c r="BC19" s="17"/>
      <c r="BD19" s="17"/>
      <c r="BE19" s="28"/>
      <c r="BF19" s="28"/>
      <c r="BG19" s="28"/>
      <c r="BH19" s="28"/>
    </row>
    <row r="20" spans="1:60" ht="14.5" x14ac:dyDescent="0.35">
      <c r="A20" s="54"/>
      <c r="B20" s="54"/>
      <c r="C20" s="41"/>
      <c r="D20" s="245"/>
      <c r="E20" s="41"/>
      <c r="F20" s="41"/>
      <c r="G20" s="41"/>
      <c r="H20" s="246"/>
      <c r="I20" s="247"/>
      <c r="J20" s="246"/>
      <c r="K20" s="246"/>
      <c r="L20" s="247"/>
      <c r="M20" s="247"/>
      <c r="N20" s="247"/>
      <c r="O20" s="247"/>
      <c r="P20" s="246"/>
      <c r="Q20" s="248"/>
      <c r="R20" s="249"/>
      <c r="S20" s="249"/>
      <c r="T20" s="249"/>
      <c r="U20" s="248"/>
      <c r="V20" s="248"/>
      <c r="W20" s="41"/>
      <c r="X20" s="41"/>
      <c r="Y20" s="8"/>
      <c r="Z20" s="8"/>
      <c r="AA20" s="37"/>
      <c r="AB20" s="41"/>
      <c r="AC20" s="41"/>
      <c r="AD20" s="49"/>
      <c r="AE20" s="50"/>
      <c r="AF20" s="41"/>
      <c r="AG20" s="8"/>
      <c r="AH20" s="55"/>
      <c r="AI20" s="8"/>
      <c r="AJ20" s="8"/>
      <c r="AK20" s="53"/>
      <c r="AL20" s="55"/>
      <c r="AM20" s="55"/>
      <c r="AN20" s="55"/>
      <c r="AO20" s="55"/>
      <c r="AP20" s="55"/>
      <c r="AQ20" s="55"/>
      <c r="AR20" s="55"/>
      <c r="AS20" s="69"/>
      <c r="AT20" s="69"/>
      <c r="AU20" s="69"/>
      <c r="AV20" s="69"/>
      <c r="AW20" s="69"/>
      <c r="AX20" s="69"/>
      <c r="AY20" s="69"/>
      <c r="AZ20" s="69"/>
      <c r="BA20" s="69"/>
      <c r="BB20" s="55"/>
      <c r="BC20" s="17"/>
      <c r="BD20" s="17"/>
      <c r="BE20" s="28"/>
      <c r="BF20" s="28"/>
      <c r="BG20" s="28"/>
      <c r="BH20" s="28"/>
    </row>
    <row r="21" spans="1:60" ht="14.5" x14ac:dyDescent="0.35">
      <c r="A21" s="54"/>
      <c r="B21" s="54"/>
      <c r="C21" s="41"/>
      <c r="D21" s="41"/>
      <c r="E21" s="41"/>
      <c r="F21" s="41"/>
      <c r="G21" s="41"/>
      <c r="H21" s="8"/>
      <c r="I21" s="8"/>
      <c r="J21" s="8"/>
      <c r="K21" s="8"/>
      <c r="L21" s="8"/>
      <c r="M21" s="8"/>
      <c r="N21" s="8"/>
      <c r="O21" s="8"/>
      <c r="P21" s="8"/>
      <c r="Q21" s="36"/>
      <c r="R21" s="20"/>
      <c r="S21" s="20"/>
      <c r="T21" s="20"/>
      <c r="U21" s="36"/>
      <c r="V21" s="36"/>
      <c r="W21" s="41"/>
      <c r="X21" s="41"/>
      <c r="Y21" s="8"/>
      <c r="Z21" s="8"/>
      <c r="AA21" s="37"/>
      <c r="AB21" s="41"/>
      <c r="AC21" s="27"/>
      <c r="AD21" s="49"/>
      <c r="AE21" s="50"/>
      <c r="AF21" s="41"/>
      <c r="AG21" s="8"/>
      <c r="AH21" s="55"/>
      <c r="AI21" s="8"/>
      <c r="AJ21" s="8"/>
      <c r="AK21" s="53"/>
      <c r="AL21" s="55"/>
      <c r="AM21" s="55"/>
      <c r="AN21" s="55"/>
      <c r="AO21" s="55"/>
      <c r="AP21" s="55"/>
      <c r="AQ21" s="55"/>
      <c r="AR21" s="55"/>
      <c r="AS21" s="69"/>
      <c r="AT21" s="69"/>
      <c r="AU21" s="69"/>
      <c r="AV21" s="69"/>
      <c r="AW21" s="69"/>
      <c r="AX21" s="69"/>
      <c r="AY21" s="69"/>
      <c r="AZ21" s="69"/>
      <c r="BA21" s="69"/>
      <c r="BB21" s="55"/>
      <c r="BC21" s="17"/>
      <c r="BD21" s="17"/>
      <c r="BE21" s="28"/>
      <c r="BF21" s="28"/>
      <c r="BG21" s="28"/>
      <c r="BH21" s="28"/>
    </row>
    <row r="22" spans="1:60" ht="14.5" x14ac:dyDescent="0.35">
      <c r="A22" s="54"/>
      <c r="B22" s="54"/>
      <c r="C22" s="41"/>
      <c r="D22" s="41"/>
      <c r="E22" s="41"/>
      <c r="F22" s="41"/>
      <c r="G22" s="41"/>
      <c r="H22" s="8"/>
      <c r="I22" s="37"/>
      <c r="J22" s="8"/>
      <c r="K22" s="8"/>
      <c r="L22" s="37"/>
      <c r="M22" s="37"/>
      <c r="N22" s="37"/>
      <c r="O22" s="37"/>
      <c r="P22" s="8"/>
      <c r="Q22" s="36"/>
      <c r="R22" s="20"/>
      <c r="S22" s="20"/>
      <c r="T22" s="20"/>
      <c r="U22" s="36"/>
      <c r="V22" s="36"/>
      <c r="W22" s="41"/>
      <c r="X22" s="41"/>
      <c r="Y22" s="8"/>
      <c r="Z22" s="8"/>
      <c r="AA22" s="37"/>
      <c r="AB22" s="41"/>
      <c r="AC22" s="41"/>
      <c r="AD22" s="49"/>
      <c r="AE22" s="50"/>
      <c r="AF22" s="41"/>
      <c r="AG22" s="8"/>
      <c r="AH22" s="55"/>
      <c r="AI22" s="8"/>
      <c r="AJ22" s="8"/>
      <c r="AK22" s="53"/>
      <c r="AL22" s="55"/>
      <c r="AM22" s="55"/>
      <c r="AN22" s="55"/>
      <c r="AO22" s="55"/>
      <c r="AP22" s="55"/>
      <c r="AQ22" s="55"/>
      <c r="AR22" s="55"/>
      <c r="AS22" s="69"/>
      <c r="AT22" s="69"/>
      <c r="AU22" s="69"/>
      <c r="AV22" s="69"/>
      <c r="AW22" s="69"/>
      <c r="AX22" s="69"/>
      <c r="AY22" s="69"/>
      <c r="AZ22" s="69"/>
      <c r="BA22" s="69"/>
      <c r="BB22" s="55"/>
      <c r="BC22" s="17"/>
      <c r="BD22" s="17"/>
      <c r="BE22" s="28"/>
      <c r="BF22" s="28"/>
      <c r="BG22" s="28"/>
      <c r="BH22" s="28"/>
    </row>
    <row r="23" spans="1:60" ht="14.5" x14ac:dyDescent="0.35">
      <c r="A23" s="54"/>
      <c r="B23" s="54"/>
      <c r="C23" s="41"/>
      <c r="D23" s="41"/>
      <c r="E23" s="41"/>
      <c r="F23" s="41"/>
      <c r="G23" s="41"/>
      <c r="H23" s="8"/>
      <c r="I23" s="8"/>
      <c r="J23" s="8"/>
      <c r="K23" s="8"/>
      <c r="L23" s="8"/>
      <c r="M23" s="8"/>
      <c r="N23" s="8"/>
      <c r="O23" s="8"/>
      <c r="P23" s="8"/>
      <c r="Q23" s="36"/>
      <c r="R23" s="20"/>
      <c r="S23" s="20"/>
      <c r="T23" s="20"/>
      <c r="U23" s="36"/>
      <c r="V23" s="36"/>
      <c r="W23" s="41"/>
      <c r="X23" s="41"/>
      <c r="Y23" s="8"/>
      <c r="Z23" s="8"/>
      <c r="AA23" s="37"/>
      <c r="AB23" s="41"/>
      <c r="AC23" s="41"/>
      <c r="AD23" s="49"/>
      <c r="AE23" s="50"/>
      <c r="AF23" s="41"/>
      <c r="AG23" s="8"/>
      <c r="AH23" s="55"/>
      <c r="AI23" s="8"/>
      <c r="AJ23" s="8"/>
      <c r="AK23" s="53"/>
      <c r="AL23" s="55"/>
      <c r="AM23" s="55"/>
      <c r="AN23" s="55"/>
      <c r="AO23" s="55"/>
      <c r="AP23" s="55"/>
      <c r="AQ23" s="55"/>
      <c r="AR23" s="55"/>
      <c r="AS23" s="69"/>
      <c r="AT23" s="69"/>
      <c r="AU23" s="69"/>
      <c r="AV23" s="69"/>
      <c r="AW23" s="69"/>
      <c r="AX23" s="69"/>
      <c r="AY23" s="69"/>
      <c r="AZ23" s="69"/>
      <c r="BA23" s="69"/>
      <c r="BB23" s="55"/>
      <c r="BC23" s="17"/>
      <c r="BD23" s="17"/>
      <c r="BE23" s="28"/>
      <c r="BF23" s="28"/>
      <c r="BG23" s="28"/>
      <c r="BH23" s="28"/>
    </row>
    <row r="24" spans="1:60" ht="14.5" x14ac:dyDescent="0.35">
      <c r="A24" s="250"/>
      <c r="B24" s="250"/>
      <c r="C24" s="44"/>
      <c r="D24" s="44"/>
      <c r="E24" s="44"/>
      <c r="F24" s="44"/>
      <c r="G24" s="44"/>
      <c r="H24" s="45"/>
      <c r="I24" s="45"/>
      <c r="J24" s="45"/>
      <c r="K24" s="45"/>
      <c r="L24" s="45"/>
      <c r="M24" s="45"/>
      <c r="N24" s="45"/>
      <c r="O24" s="45"/>
      <c r="P24" s="45"/>
      <c r="Q24" s="251"/>
      <c r="R24" s="252"/>
      <c r="S24" s="252"/>
      <c r="T24" s="252"/>
      <c r="U24" s="251"/>
      <c r="V24" s="251"/>
      <c r="W24" s="44"/>
      <c r="X24" s="44"/>
      <c r="Y24" s="45"/>
      <c r="Z24" s="45"/>
      <c r="AA24" s="253"/>
      <c r="AB24" s="44"/>
      <c r="AC24" s="44"/>
      <c r="AD24" s="63"/>
      <c r="AE24" s="254"/>
      <c r="AF24" s="44"/>
      <c r="AG24" s="45"/>
      <c r="AH24" s="64"/>
      <c r="AI24" s="45"/>
      <c r="AJ24" s="45"/>
      <c r="AK24" s="65"/>
      <c r="AL24" s="64"/>
      <c r="AM24" s="64"/>
      <c r="AN24" s="64"/>
      <c r="AO24" s="64"/>
      <c r="AP24" s="64"/>
      <c r="AQ24" s="64"/>
      <c r="AR24" s="64"/>
      <c r="AS24" s="255"/>
      <c r="AT24" s="255"/>
      <c r="AU24" s="255"/>
      <c r="AV24" s="255"/>
      <c r="AW24" s="255"/>
      <c r="AX24" s="255"/>
      <c r="AY24" s="255"/>
      <c r="AZ24" s="255"/>
      <c r="BA24" s="255"/>
      <c r="BB24" s="64"/>
      <c r="BC24" s="256"/>
      <c r="BD24" s="256"/>
      <c r="BE24" s="257"/>
      <c r="BF24" s="257"/>
      <c r="BG24" s="257"/>
      <c r="BH24" s="257"/>
    </row>
    <row r="25" spans="1:60" ht="14.5" x14ac:dyDescent="0.35">
      <c r="A25" s="54"/>
      <c r="B25" s="54"/>
      <c r="C25" s="41"/>
      <c r="D25" s="41"/>
      <c r="E25" s="41"/>
      <c r="F25" s="41"/>
      <c r="G25" s="41"/>
      <c r="H25" s="8"/>
      <c r="I25" s="8"/>
      <c r="J25" s="8"/>
      <c r="K25" s="8"/>
      <c r="L25" s="8"/>
      <c r="M25" s="8"/>
      <c r="N25" s="8"/>
      <c r="O25" s="8"/>
      <c r="P25" s="8"/>
      <c r="Q25" s="36"/>
      <c r="R25" s="20"/>
      <c r="S25" s="20"/>
      <c r="T25" s="20"/>
      <c r="U25" s="36"/>
      <c r="V25" s="36"/>
      <c r="W25" s="41"/>
      <c r="X25" s="41"/>
      <c r="Y25" s="8"/>
      <c r="Z25" s="8"/>
      <c r="AA25" s="37"/>
      <c r="AB25" s="41"/>
      <c r="AC25" s="41"/>
      <c r="AD25" s="49"/>
      <c r="AE25" s="50"/>
      <c r="AF25" s="41"/>
      <c r="AG25" s="8"/>
      <c r="AH25" s="55"/>
      <c r="AI25" s="8"/>
      <c r="AJ25" s="8"/>
      <c r="AK25" s="53"/>
      <c r="AL25" s="55"/>
      <c r="AM25" s="55"/>
      <c r="AN25" s="55"/>
      <c r="AO25" s="55"/>
      <c r="AP25" s="55"/>
      <c r="AQ25" s="55"/>
      <c r="AR25" s="55"/>
      <c r="AS25" s="69"/>
      <c r="AT25" s="69"/>
      <c r="AU25" s="69"/>
      <c r="AV25" s="69"/>
      <c r="AW25" s="69"/>
      <c r="AX25" s="69"/>
      <c r="AY25" s="69"/>
      <c r="AZ25" s="69"/>
      <c r="BA25" s="69"/>
      <c r="BB25" s="55"/>
      <c r="BC25" s="17"/>
      <c r="BD25" s="17"/>
      <c r="BE25" s="8"/>
      <c r="BF25" s="28"/>
      <c r="BG25" s="28"/>
      <c r="BH25" s="28"/>
    </row>
    <row r="26" spans="1:60" ht="14.5" x14ac:dyDescent="0.35">
      <c r="AC26" s="6"/>
      <c r="AD26" s="13"/>
      <c r="AE26" s="14"/>
      <c r="AF26" s="6"/>
      <c r="AG26" s="7"/>
      <c r="AH26" s="15"/>
      <c r="AI26" s="7"/>
      <c r="AJ26" s="7"/>
      <c r="AL26" s="15"/>
      <c r="AM26" s="15"/>
      <c r="AN26" s="15"/>
      <c r="AO26" s="15"/>
      <c r="BE26" s="16"/>
      <c r="BF26" s="16"/>
      <c r="BG26" s="16"/>
      <c r="BH26" s="16"/>
    </row>
    <row r="27" spans="1:60" s="1" customFormat="1" ht="13.5" customHeight="1" x14ac:dyDescent="0.35">
      <c r="A27" s="54" t="s">
        <v>4</v>
      </c>
      <c r="B27" s="323"/>
      <c r="C27" s="324"/>
      <c r="D27" s="66"/>
      <c r="E27" s="6"/>
      <c r="F27" s="6"/>
      <c r="G27" s="6"/>
      <c r="H27" s="7"/>
      <c r="I27" s="7"/>
      <c r="J27" s="7"/>
      <c r="K27" s="7"/>
      <c r="L27" s="7"/>
      <c r="M27" s="7"/>
      <c r="N27" s="7"/>
      <c r="O27" s="7"/>
      <c r="P27" s="7"/>
      <c r="W27" s="6"/>
      <c r="X27" s="6"/>
      <c r="Y27" s="7"/>
      <c r="Z27" s="7"/>
      <c r="AA27" s="7"/>
      <c r="AB27" s="6"/>
      <c r="AC27" s="5"/>
      <c r="AD27" s="4"/>
      <c r="AE27" s="4"/>
      <c r="AF27" s="5"/>
      <c r="AG27" s="4"/>
      <c r="AH27" s="4"/>
      <c r="AI27" s="4"/>
      <c r="AJ27" s="4"/>
      <c r="AK27" s="4"/>
      <c r="AL27" s="4"/>
      <c r="AM27" s="4"/>
      <c r="AN27" s="4"/>
      <c r="AO27" s="4"/>
      <c r="AP27"/>
      <c r="AQ27"/>
      <c r="AR27"/>
      <c r="AS27"/>
      <c r="AT27"/>
      <c r="AU27"/>
      <c r="AV27"/>
      <c r="AW27"/>
      <c r="AX27"/>
      <c r="AY27"/>
      <c r="AZ27"/>
      <c r="BA27"/>
      <c r="BB27"/>
      <c r="BC27"/>
      <c r="BD27"/>
      <c r="BE27" s="4"/>
      <c r="BF27" s="4"/>
      <c r="BG27" s="4"/>
      <c r="BH27" s="4"/>
    </row>
    <row r="28" spans="1:60" s="1" customFormat="1" ht="74.150000000000006" customHeight="1" x14ac:dyDescent="0.35">
      <c r="A28" s="41" t="s">
        <v>5</v>
      </c>
      <c r="B28" s="310"/>
      <c r="C28" s="311"/>
      <c r="D28" s="7"/>
      <c r="E28" s="6"/>
      <c r="F28" s="6"/>
      <c r="G28" s="6"/>
      <c r="H28" s="7"/>
      <c r="I28" s="7"/>
      <c r="J28" s="7"/>
      <c r="K28" s="7"/>
      <c r="L28" s="7"/>
      <c r="M28" s="7"/>
      <c r="N28" s="7"/>
      <c r="O28" s="7"/>
      <c r="P28" s="7"/>
      <c r="W28" s="6"/>
      <c r="X28" s="6"/>
      <c r="Y28" s="7"/>
      <c r="Z28" s="7"/>
      <c r="AA28" s="7"/>
      <c r="AB28" s="6"/>
      <c r="AC28" s="5"/>
      <c r="AD28" s="4"/>
      <c r="AE28" s="4"/>
      <c r="AF28" s="5"/>
      <c r="AG28" s="4"/>
      <c r="AH28" s="4"/>
      <c r="AI28" s="4"/>
      <c r="AJ28" s="4"/>
      <c r="AK28" s="4"/>
      <c r="AL28" s="4"/>
      <c r="AM28" s="4"/>
      <c r="AN28" s="4"/>
      <c r="AO28" s="4"/>
      <c r="AP28"/>
      <c r="AQ28"/>
      <c r="AR28"/>
      <c r="AS28"/>
      <c r="AT28"/>
      <c r="AU28"/>
      <c r="AV28"/>
      <c r="AW28"/>
      <c r="AX28"/>
      <c r="AY28"/>
      <c r="AZ28"/>
      <c r="BA28"/>
      <c r="BB28"/>
      <c r="BC28"/>
      <c r="BD28"/>
      <c r="BE28" s="4"/>
      <c r="BF28" s="4"/>
      <c r="BG28" s="4"/>
      <c r="BH28" s="4"/>
    </row>
    <row r="29" spans="1:60" s="1" customFormat="1" ht="14.5" x14ac:dyDescent="0.35">
      <c r="A29" s="5"/>
      <c r="B29" s="5"/>
      <c r="C29" s="6"/>
      <c r="D29" s="6"/>
      <c r="E29" s="6"/>
      <c r="F29" s="6"/>
      <c r="G29" s="6"/>
      <c r="H29" s="7"/>
      <c r="I29" s="7"/>
      <c r="J29" s="7"/>
      <c r="K29" s="7"/>
      <c r="L29" s="7"/>
      <c r="M29" s="7"/>
      <c r="N29" s="7"/>
      <c r="O29" s="7"/>
      <c r="P29" s="7"/>
      <c r="W29" s="6"/>
      <c r="X29" s="6"/>
      <c r="Y29" s="7"/>
      <c r="Z29" s="7"/>
      <c r="AA29" s="7"/>
      <c r="AB29" s="6"/>
      <c r="AC29" s="5"/>
      <c r="AD29" s="4"/>
      <c r="AE29" s="4"/>
      <c r="AF29" s="5"/>
      <c r="AG29" s="4"/>
      <c r="AH29" s="4"/>
      <c r="AI29" s="4"/>
      <c r="AJ29" s="4"/>
      <c r="AK29" s="4"/>
      <c r="AL29" s="4"/>
      <c r="AM29" s="4"/>
      <c r="AN29" s="4"/>
      <c r="AO29" s="4"/>
      <c r="AP29"/>
      <c r="AQ29"/>
      <c r="AR29"/>
      <c r="AS29"/>
      <c r="AT29"/>
      <c r="AU29"/>
      <c r="AV29"/>
      <c r="AW29"/>
      <c r="AX29"/>
      <c r="AY29"/>
      <c r="AZ29"/>
      <c r="BA29"/>
      <c r="BB29"/>
      <c r="BC29"/>
      <c r="BD29"/>
      <c r="BE29" s="4"/>
      <c r="BF29" s="4"/>
      <c r="BG29" s="4"/>
      <c r="BH29" s="4"/>
    </row>
    <row r="30" spans="1:60" ht="14.5" x14ac:dyDescent="0.35">
      <c r="A30" s="6"/>
      <c r="B30" s="6"/>
    </row>
    <row r="31" spans="1:60" s="1" customFormat="1" ht="14.15" customHeight="1" x14ac:dyDescent="0.35">
      <c r="A31" s="5"/>
      <c r="B31" s="5"/>
      <c r="C31" s="6"/>
      <c r="D31" s="6"/>
      <c r="E31" s="6"/>
      <c r="F31" s="6"/>
      <c r="G31" s="6"/>
      <c r="H31" s="7"/>
      <c r="I31" s="7"/>
      <c r="J31" s="7"/>
      <c r="K31" s="7"/>
      <c r="L31" s="7"/>
      <c r="M31" s="7"/>
      <c r="N31" s="7"/>
      <c r="O31" s="7"/>
      <c r="P31" s="7"/>
      <c r="W31" s="6"/>
      <c r="X31" s="6"/>
      <c r="Y31" s="7"/>
      <c r="Z31" s="7"/>
      <c r="AA31" s="7"/>
      <c r="AB31" s="6"/>
      <c r="AC31" s="5"/>
      <c r="AD31" s="4"/>
      <c r="AE31" s="4"/>
      <c r="AF31" s="5"/>
      <c r="AG31" s="4"/>
      <c r="AH31" s="4"/>
      <c r="AI31" s="4"/>
      <c r="AJ31" s="4"/>
      <c r="AK31" s="4"/>
      <c r="AL31" s="4"/>
      <c r="AM31" s="4"/>
      <c r="AN31" s="4"/>
      <c r="AO31" s="4"/>
      <c r="AP31"/>
      <c r="AQ31"/>
      <c r="AR31"/>
      <c r="AS31"/>
      <c r="AT31"/>
      <c r="AU31"/>
      <c r="AV31"/>
      <c r="AW31"/>
      <c r="AX31"/>
      <c r="AY31"/>
      <c r="AZ31"/>
      <c r="BA31"/>
      <c r="BB31"/>
      <c r="BC31"/>
      <c r="BD31"/>
      <c r="BE31" s="4"/>
      <c r="BF31" s="4"/>
      <c r="BG31" s="4"/>
      <c r="BH31" s="4"/>
    </row>
    <row r="32" spans="1:60" s="1" customFormat="1" ht="15" customHeight="1" x14ac:dyDescent="0.35">
      <c r="A32" s="59" t="s">
        <v>546</v>
      </c>
      <c r="B32" s="59"/>
      <c r="C32" s="6"/>
      <c r="D32" s="6"/>
      <c r="E32" s="6"/>
      <c r="F32" s="6"/>
      <c r="G32" s="6"/>
      <c r="H32" s="7"/>
      <c r="I32" s="7"/>
      <c r="J32" s="7"/>
      <c r="K32" s="7"/>
      <c r="L32" s="7"/>
      <c r="M32" s="7"/>
      <c r="N32" s="7"/>
      <c r="O32" s="7"/>
      <c r="P32" s="7"/>
      <c r="W32" s="6"/>
      <c r="X32" s="6"/>
      <c r="Y32" s="7"/>
      <c r="Z32" s="7"/>
      <c r="AA32" s="7"/>
      <c r="AB32" s="6"/>
      <c r="AC32" s="5"/>
      <c r="AD32" s="4"/>
      <c r="AE32" s="4"/>
      <c r="AF32" s="5"/>
      <c r="AG32" s="4"/>
      <c r="AH32" s="4"/>
      <c r="AI32" s="4"/>
      <c r="AJ32" s="4"/>
      <c r="AK32" s="4"/>
      <c r="AL32" s="4"/>
      <c r="AM32" s="4"/>
      <c r="AN32" s="4"/>
      <c r="AO32" s="4"/>
      <c r="AP32"/>
      <c r="AQ32"/>
      <c r="AR32"/>
      <c r="AS32"/>
      <c r="AT32"/>
      <c r="AU32"/>
      <c r="AV32"/>
      <c r="AW32"/>
      <c r="AX32"/>
      <c r="AY32"/>
      <c r="AZ32"/>
      <c r="BA32"/>
      <c r="BB32"/>
      <c r="BC32"/>
      <c r="BD32"/>
      <c r="BE32" s="4"/>
      <c r="BF32" s="4"/>
      <c r="BG32" s="4"/>
      <c r="BH32" s="4"/>
    </row>
    <row r="33" spans="1:60" s="1" customFormat="1" ht="22.5" customHeight="1" x14ac:dyDescent="0.35">
      <c r="A33" s="1" t="s">
        <v>1</v>
      </c>
      <c r="B33" s="59"/>
      <c r="C33" s="6"/>
      <c r="D33" s="6"/>
      <c r="E33" s="6"/>
      <c r="F33" s="6"/>
      <c r="G33" s="6"/>
      <c r="H33" s="7"/>
      <c r="I33" s="7"/>
      <c r="J33" s="7"/>
      <c r="K33" s="7"/>
      <c r="L33" s="7"/>
      <c r="M33" s="7"/>
      <c r="N33" s="7"/>
      <c r="O33" s="7"/>
      <c r="P33" s="7"/>
      <c r="W33" s="6"/>
      <c r="X33" s="6"/>
      <c r="Y33" s="7"/>
      <c r="Z33" s="7"/>
      <c r="AA33" s="7"/>
      <c r="AB33" s="6"/>
      <c r="AC33" s="5"/>
      <c r="AD33" s="4"/>
      <c r="AE33" s="4"/>
      <c r="AF33" s="5"/>
      <c r="AG33" s="4"/>
      <c r="AH33" s="4"/>
      <c r="AI33" s="4"/>
      <c r="AJ33" s="4"/>
      <c r="AK33" s="4"/>
      <c r="AL33" s="4"/>
      <c r="AM33" s="4"/>
      <c r="AN33" s="4"/>
      <c r="AO33" s="4"/>
      <c r="AP33"/>
      <c r="AQ33"/>
      <c r="AR33"/>
      <c r="AS33"/>
      <c r="AT33"/>
      <c r="AU33"/>
      <c r="AV33"/>
      <c r="AW33"/>
      <c r="AX33"/>
      <c r="AY33"/>
      <c r="AZ33"/>
      <c r="BA33"/>
      <c r="BB33"/>
      <c r="BC33"/>
      <c r="BD33"/>
      <c r="BE33" s="4"/>
      <c r="BF33" s="4"/>
      <c r="BG33" s="4"/>
      <c r="BH33" s="4"/>
    </row>
    <row r="34" spans="1:60" ht="6" hidden="1" customHeight="1" x14ac:dyDescent="0.35">
      <c r="A34" s="59"/>
    </row>
    <row r="35" spans="1:60" ht="6" hidden="1" customHeight="1" x14ac:dyDescent="0.35"/>
    <row r="36" spans="1:60" ht="6" hidden="1" customHeight="1" x14ac:dyDescent="0.35"/>
    <row r="37" spans="1:60" ht="6" hidden="1" customHeight="1" x14ac:dyDescent="0.35"/>
    <row r="38" spans="1:60" ht="6" hidden="1" customHeight="1" x14ac:dyDescent="0.35"/>
    <row r="39" spans="1:60" ht="6" hidden="1" customHeight="1" x14ac:dyDescent="0.35"/>
    <row r="40" spans="1:60" ht="6" hidden="1" customHeight="1" x14ac:dyDescent="0.35"/>
    <row r="41" spans="1:60" ht="6" hidden="1" customHeight="1" x14ac:dyDescent="0.35"/>
    <row r="42" spans="1:60" ht="6" hidden="1" customHeight="1" x14ac:dyDescent="0.35"/>
    <row r="43" spans="1:60" ht="6" hidden="1" customHeight="1" x14ac:dyDescent="0.35"/>
    <row r="44" spans="1:60" ht="6" hidden="1" customHeight="1" x14ac:dyDescent="0.35"/>
    <row r="45" spans="1:60" ht="6" hidden="1" customHeight="1" x14ac:dyDescent="0.35"/>
    <row r="46" spans="1:60" ht="6" hidden="1" customHeight="1" x14ac:dyDescent="0.35"/>
    <row r="47" spans="1:60" ht="6" hidden="1" customHeight="1" x14ac:dyDescent="0.35"/>
    <row r="48" spans="1:60" ht="6" hidden="1" customHeight="1" x14ac:dyDescent="0.35"/>
    <row r="49" ht="6" hidden="1" customHeight="1" x14ac:dyDescent="0.35"/>
    <row r="50" ht="6" hidden="1" customHeight="1" x14ac:dyDescent="0.35"/>
    <row r="51" ht="6" hidden="1" customHeight="1" x14ac:dyDescent="0.35"/>
    <row r="52" ht="6" hidden="1" customHeight="1" x14ac:dyDescent="0.35"/>
    <row r="53" ht="6" hidden="1" customHeight="1" x14ac:dyDescent="0.35"/>
    <row r="54" ht="6" hidden="1" customHeight="1" x14ac:dyDescent="0.35"/>
    <row r="55" ht="6" hidden="1" customHeight="1" x14ac:dyDescent="0.35"/>
    <row r="56" ht="6" hidden="1" customHeight="1" x14ac:dyDescent="0.35"/>
    <row r="57" ht="6" hidden="1" customHeight="1" x14ac:dyDescent="0.35"/>
    <row r="58" ht="6" hidden="1" customHeight="1" x14ac:dyDescent="0.35"/>
    <row r="59" ht="6" hidden="1" customHeight="1" x14ac:dyDescent="0.35"/>
    <row r="60" ht="6" hidden="1" customHeight="1" x14ac:dyDescent="0.35"/>
    <row r="61" ht="6" hidden="1" customHeight="1" x14ac:dyDescent="0.35"/>
    <row r="62" ht="6" hidden="1" customHeight="1" x14ac:dyDescent="0.35"/>
    <row r="63" ht="6" hidden="1" customHeight="1" x14ac:dyDescent="0.35"/>
    <row r="64" ht="6" hidden="1" customHeight="1" x14ac:dyDescent="0.35"/>
    <row r="65" ht="6" hidden="1" customHeight="1" x14ac:dyDescent="0.35"/>
    <row r="66" ht="6" hidden="1" customHeight="1" x14ac:dyDescent="0.35"/>
    <row r="67" ht="6" hidden="1" customHeight="1" x14ac:dyDescent="0.35"/>
    <row r="68" ht="6" hidden="1" customHeight="1" x14ac:dyDescent="0.35"/>
    <row r="69" ht="6" hidden="1" customHeight="1" x14ac:dyDescent="0.35"/>
    <row r="70" ht="6" hidden="1" customHeight="1" x14ac:dyDescent="0.35"/>
    <row r="71" ht="6" hidden="1" customHeight="1" x14ac:dyDescent="0.35"/>
    <row r="72" ht="6" hidden="1" customHeight="1" x14ac:dyDescent="0.35"/>
    <row r="73" ht="6" hidden="1" customHeight="1" x14ac:dyDescent="0.35"/>
    <row r="74" ht="6" hidden="1" customHeight="1" x14ac:dyDescent="0.35"/>
    <row r="75" ht="6" hidden="1" customHeight="1" x14ac:dyDescent="0.35"/>
    <row r="76" ht="6" hidden="1" customHeight="1" x14ac:dyDescent="0.35"/>
    <row r="77" ht="6" hidden="1" customHeight="1" x14ac:dyDescent="0.35"/>
    <row r="78" ht="6" hidden="1" customHeight="1" x14ac:dyDescent="0.35"/>
    <row r="79" ht="6" hidden="1" customHeight="1" x14ac:dyDescent="0.35"/>
    <row r="80" ht="6" hidden="1" customHeight="1" x14ac:dyDescent="0.35"/>
    <row r="81" ht="6" hidden="1" customHeight="1" x14ac:dyDescent="0.35"/>
    <row r="82" ht="6" hidden="1" customHeight="1" x14ac:dyDescent="0.35"/>
    <row r="83" ht="6" hidden="1" customHeight="1" x14ac:dyDescent="0.35"/>
    <row r="84" ht="6" hidden="1" customHeight="1" x14ac:dyDescent="0.35"/>
    <row r="85" ht="6" hidden="1" customHeight="1" x14ac:dyDescent="0.35"/>
    <row r="86" ht="6" hidden="1" customHeight="1" x14ac:dyDescent="0.35"/>
    <row r="87" ht="6" hidden="1" customHeight="1" x14ac:dyDescent="0.35"/>
    <row r="88" ht="6" hidden="1" customHeight="1" x14ac:dyDescent="0.35"/>
    <row r="89" ht="6" hidden="1" customHeight="1" x14ac:dyDescent="0.35"/>
    <row r="90" ht="6" hidden="1" customHeight="1" x14ac:dyDescent="0.35"/>
    <row r="91" ht="6" hidden="1" customHeight="1" x14ac:dyDescent="0.35"/>
    <row r="92" ht="6" hidden="1" customHeight="1" x14ac:dyDescent="0.35"/>
    <row r="93" ht="6" hidden="1" customHeight="1" x14ac:dyDescent="0.35"/>
    <row r="94" ht="6" hidden="1" customHeight="1" x14ac:dyDescent="0.35"/>
    <row r="95" ht="6" hidden="1" customHeight="1" x14ac:dyDescent="0.35"/>
    <row r="96" ht="6" hidden="1" customHeight="1" x14ac:dyDescent="0.35"/>
    <row r="97" ht="6" hidden="1" customHeight="1" x14ac:dyDescent="0.35"/>
    <row r="98" ht="6" hidden="1" customHeight="1" x14ac:dyDescent="0.35"/>
    <row r="99" ht="6" hidden="1" customHeight="1" x14ac:dyDescent="0.35"/>
    <row r="100" ht="6" hidden="1" customHeight="1" x14ac:dyDescent="0.35"/>
    <row r="101" ht="6" hidden="1" customHeight="1" x14ac:dyDescent="0.35"/>
    <row r="102" ht="6" hidden="1" customHeight="1" x14ac:dyDescent="0.35"/>
    <row r="103" ht="6" hidden="1" customHeight="1" x14ac:dyDescent="0.35"/>
    <row r="104" ht="6" hidden="1" customHeight="1" x14ac:dyDescent="0.35"/>
    <row r="105" ht="6" hidden="1" customHeight="1" x14ac:dyDescent="0.35"/>
    <row r="106" ht="6" hidden="1" customHeight="1" x14ac:dyDescent="0.35"/>
    <row r="107" ht="6" hidden="1" customHeight="1" x14ac:dyDescent="0.35"/>
    <row r="108" ht="6" hidden="1" customHeight="1" x14ac:dyDescent="0.35"/>
    <row r="109" ht="6" hidden="1" customHeight="1" x14ac:dyDescent="0.35"/>
    <row r="110" ht="6" hidden="1" customHeight="1" x14ac:dyDescent="0.35"/>
    <row r="111" ht="6" hidden="1" customHeight="1" x14ac:dyDescent="0.35"/>
    <row r="112" ht="6" hidden="1" customHeight="1" x14ac:dyDescent="0.35"/>
    <row r="113" ht="6" hidden="1" customHeight="1" x14ac:dyDescent="0.35"/>
    <row r="114" ht="6" hidden="1" customHeight="1" x14ac:dyDescent="0.35"/>
    <row r="115" ht="6" hidden="1" customHeight="1" x14ac:dyDescent="0.35"/>
    <row r="116" ht="6" hidden="1" customHeight="1" x14ac:dyDescent="0.35"/>
    <row r="117" ht="6" hidden="1" customHeight="1" x14ac:dyDescent="0.35"/>
    <row r="118" ht="6" hidden="1" customHeight="1" x14ac:dyDescent="0.35"/>
    <row r="119" ht="6" hidden="1" customHeight="1" x14ac:dyDescent="0.35"/>
    <row r="120" ht="6" hidden="1" customHeight="1" x14ac:dyDescent="0.35"/>
    <row r="121" ht="6" hidden="1" customHeight="1" x14ac:dyDescent="0.35"/>
    <row r="122" ht="6" hidden="1" customHeight="1" x14ac:dyDescent="0.35"/>
    <row r="123" ht="6" hidden="1" customHeight="1" x14ac:dyDescent="0.35"/>
    <row r="124" ht="6" hidden="1" customHeight="1" x14ac:dyDescent="0.35"/>
    <row r="125" ht="6" hidden="1" customHeight="1" x14ac:dyDescent="0.35"/>
    <row r="126" ht="6" hidden="1" customHeight="1" x14ac:dyDescent="0.35"/>
    <row r="127" ht="6" hidden="1" customHeight="1" x14ac:dyDescent="0.35"/>
    <row r="128" ht="6" hidden="1" customHeight="1" x14ac:dyDescent="0.35"/>
    <row r="129" ht="6" hidden="1" customHeight="1" x14ac:dyDescent="0.35"/>
    <row r="130" ht="6" hidden="1" customHeight="1" x14ac:dyDescent="0.35"/>
    <row r="131" ht="6" hidden="1" customHeight="1" x14ac:dyDescent="0.35"/>
    <row r="132" ht="6" hidden="1" customHeight="1" x14ac:dyDescent="0.35"/>
    <row r="133" ht="6" hidden="1" customHeight="1" x14ac:dyDescent="0.35"/>
    <row r="134" ht="6" hidden="1" customHeight="1" x14ac:dyDescent="0.35"/>
    <row r="135" ht="6" hidden="1" customHeight="1" x14ac:dyDescent="0.35"/>
    <row r="136" ht="6" hidden="1" customHeight="1" x14ac:dyDescent="0.35"/>
    <row r="137" ht="6" hidden="1" customHeight="1" x14ac:dyDescent="0.35"/>
    <row r="138" ht="6" hidden="1" customHeight="1" x14ac:dyDescent="0.35"/>
    <row r="139" ht="6" hidden="1" customHeight="1" x14ac:dyDescent="0.35"/>
    <row r="140" ht="6" hidden="1" customHeight="1" x14ac:dyDescent="0.35"/>
    <row r="141" ht="6" hidden="1" customHeight="1" x14ac:dyDescent="0.35"/>
    <row r="142" ht="6" hidden="1" customHeight="1" x14ac:dyDescent="0.35"/>
    <row r="143" ht="6" hidden="1" customHeight="1" x14ac:dyDescent="0.35"/>
    <row r="144" ht="6" hidden="1" customHeight="1" x14ac:dyDescent="0.35"/>
    <row r="145" ht="6" hidden="1" customHeight="1" x14ac:dyDescent="0.35"/>
    <row r="146" ht="6" hidden="1" customHeight="1" x14ac:dyDescent="0.35"/>
    <row r="147" ht="6" hidden="1" customHeight="1" x14ac:dyDescent="0.35"/>
    <row r="148" ht="6" hidden="1" customHeight="1" x14ac:dyDescent="0.35"/>
    <row r="149" ht="6" hidden="1" customHeight="1" x14ac:dyDescent="0.35"/>
    <row r="150" ht="6" hidden="1" customHeight="1" x14ac:dyDescent="0.35"/>
    <row r="151" ht="6" hidden="1" customHeight="1" x14ac:dyDescent="0.35"/>
    <row r="152" ht="6" hidden="1" customHeight="1" x14ac:dyDescent="0.35"/>
    <row r="153" ht="6" hidden="1" customHeight="1" x14ac:dyDescent="0.35"/>
    <row r="154" ht="6" hidden="1" customHeight="1" x14ac:dyDescent="0.35"/>
    <row r="155" ht="6" hidden="1" customHeight="1" x14ac:dyDescent="0.35"/>
    <row r="156" ht="6" hidden="1" customHeight="1" x14ac:dyDescent="0.35"/>
    <row r="157" ht="6" hidden="1" customHeight="1" x14ac:dyDescent="0.35"/>
    <row r="158" ht="6" hidden="1" customHeight="1" x14ac:dyDescent="0.35"/>
    <row r="159" ht="6" hidden="1" customHeight="1" x14ac:dyDescent="0.35"/>
    <row r="160" ht="6" hidden="1" customHeight="1" x14ac:dyDescent="0.35"/>
    <row r="161" ht="6" hidden="1" customHeight="1" x14ac:dyDescent="0.35"/>
    <row r="162" ht="6" hidden="1" customHeight="1" x14ac:dyDescent="0.35"/>
    <row r="163" ht="6" hidden="1" customHeight="1" x14ac:dyDescent="0.35"/>
    <row r="164" ht="6" hidden="1" customHeight="1" x14ac:dyDescent="0.35"/>
    <row r="165" ht="6" hidden="1" customHeight="1" x14ac:dyDescent="0.35"/>
    <row r="166" ht="6" hidden="1" customHeight="1" x14ac:dyDescent="0.35"/>
    <row r="167" ht="6" hidden="1" customHeight="1" x14ac:dyDescent="0.35"/>
    <row r="168" ht="6" hidden="1" customHeight="1" x14ac:dyDescent="0.35"/>
    <row r="169" ht="6" hidden="1" customHeight="1" x14ac:dyDescent="0.35"/>
    <row r="170" ht="6" hidden="1" customHeight="1" x14ac:dyDescent="0.35"/>
    <row r="171" ht="6" hidden="1" customHeight="1" x14ac:dyDescent="0.35"/>
    <row r="172" ht="6" hidden="1" customHeight="1" x14ac:dyDescent="0.35"/>
    <row r="173" ht="6" hidden="1" customHeight="1" x14ac:dyDescent="0.35"/>
    <row r="174" ht="6" hidden="1" customHeight="1" x14ac:dyDescent="0.35"/>
    <row r="175" ht="6" hidden="1" customHeight="1" x14ac:dyDescent="0.35"/>
    <row r="176" ht="6" hidden="1" customHeight="1" x14ac:dyDescent="0.35"/>
    <row r="177" ht="6" hidden="1" customHeight="1" x14ac:dyDescent="0.35"/>
    <row r="178" ht="6" hidden="1" customHeight="1" x14ac:dyDescent="0.35"/>
    <row r="179" ht="6" hidden="1" customHeight="1" x14ac:dyDescent="0.35"/>
    <row r="180" ht="6" hidden="1" customHeight="1" x14ac:dyDescent="0.35"/>
    <row r="181" ht="6" hidden="1" customHeight="1" x14ac:dyDescent="0.35"/>
    <row r="182" ht="6" hidden="1" customHeight="1" x14ac:dyDescent="0.35"/>
    <row r="183" ht="6" hidden="1" customHeight="1" x14ac:dyDescent="0.35"/>
    <row r="184" ht="6" hidden="1" customHeight="1" x14ac:dyDescent="0.35"/>
    <row r="185" ht="6" hidden="1" customHeight="1" x14ac:dyDescent="0.35"/>
    <row r="186" ht="6" hidden="1" customHeight="1" x14ac:dyDescent="0.35"/>
    <row r="187" ht="6" hidden="1" customHeight="1" x14ac:dyDescent="0.35"/>
    <row r="188" ht="6" hidden="1" customHeight="1" x14ac:dyDescent="0.35"/>
    <row r="189" ht="6" hidden="1" customHeight="1" x14ac:dyDescent="0.35"/>
    <row r="190" ht="6" hidden="1" customHeight="1" x14ac:dyDescent="0.35"/>
    <row r="191" ht="6" hidden="1" customHeight="1" x14ac:dyDescent="0.35"/>
    <row r="192" ht="6" hidden="1" customHeight="1" x14ac:dyDescent="0.35"/>
    <row r="193" ht="6" hidden="1" customHeight="1" x14ac:dyDescent="0.35"/>
    <row r="194" ht="6" hidden="1" customHeight="1" x14ac:dyDescent="0.35"/>
    <row r="195" ht="6" hidden="1" customHeight="1" x14ac:dyDescent="0.35"/>
    <row r="196" ht="6" hidden="1" customHeight="1" x14ac:dyDescent="0.35"/>
    <row r="197" ht="6" hidden="1" customHeight="1" x14ac:dyDescent="0.35"/>
    <row r="198" ht="6" hidden="1" customHeight="1" x14ac:dyDescent="0.35"/>
    <row r="199" ht="6" hidden="1" customHeight="1" x14ac:dyDescent="0.35"/>
    <row r="200" ht="6" hidden="1" customHeight="1" x14ac:dyDescent="0.35"/>
    <row r="201" ht="6" hidden="1" customHeight="1" x14ac:dyDescent="0.35"/>
    <row r="202" ht="6" hidden="1" customHeight="1" x14ac:dyDescent="0.35"/>
    <row r="203" ht="6" hidden="1" customHeight="1" x14ac:dyDescent="0.35"/>
    <row r="204" ht="6" hidden="1" customHeight="1" x14ac:dyDescent="0.35"/>
    <row r="205" ht="6" hidden="1" customHeight="1" x14ac:dyDescent="0.35"/>
    <row r="206" ht="6" hidden="1" customHeight="1" x14ac:dyDescent="0.35"/>
    <row r="207" ht="6" hidden="1" customHeight="1" x14ac:dyDescent="0.35"/>
    <row r="208" ht="6" hidden="1" customHeight="1" x14ac:dyDescent="0.35"/>
    <row r="209" ht="6" hidden="1" customHeight="1" x14ac:dyDescent="0.35"/>
    <row r="210" ht="6" hidden="1" customHeight="1" x14ac:dyDescent="0.35"/>
    <row r="211" ht="6" hidden="1" customHeight="1" x14ac:dyDescent="0.35"/>
    <row r="212" ht="6" hidden="1" customHeight="1" x14ac:dyDescent="0.35"/>
    <row r="213" ht="6" hidden="1" customHeight="1" x14ac:dyDescent="0.35"/>
    <row r="214" ht="6" hidden="1" customHeight="1" x14ac:dyDescent="0.35"/>
    <row r="215" ht="6" hidden="1" customHeight="1" x14ac:dyDescent="0.35"/>
    <row r="216" ht="6" hidden="1" customHeight="1" x14ac:dyDescent="0.35"/>
    <row r="217" ht="6" hidden="1" customHeight="1" x14ac:dyDescent="0.35"/>
    <row r="218" ht="6" hidden="1" customHeight="1" x14ac:dyDescent="0.35"/>
    <row r="219" ht="6" hidden="1" customHeight="1" x14ac:dyDescent="0.35"/>
    <row r="220" ht="6" hidden="1" customHeight="1" x14ac:dyDescent="0.35"/>
    <row r="221" ht="6" hidden="1" customHeight="1" x14ac:dyDescent="0.35"/>
    <row r="222" ht="6" hidden="1" customHeight="1" x14ac:dyDescent="0.35"/>
    <row r="223" ht="6" hidden="1" customHeight="1" x14ac:dyDescent="0.35"/>
    <row r="224" ht="6" hidden="1" customHeight="1" x14ac:dyDescent="0.35"/>
    <row r="225" ht="6" hidden="1" customHeight="1" x14ac:dyDescent="0.35"/>
    <row r="226" ht="6" hidden="1" customHeight="1" x14ac:dyDescent="0.35"/>
    <row r="227" ht="6" hidden="1" customHeight="1" x14ac:dyDescent="0.35"/>
    <row r="228" ht="6" hidden="1" customHeight="1" x14ac:dyDescent="0.35"/>
    <row r="229" ht="6" hidden="1" customHeight="1" x14ac:dyDescent="0.35"/>
    <row r="230" ht="6" hidden="1" customHeight="1" x14ac:dyDescent="0.35"/>
    <row r="231" ht="6" hidden="1" customHeight="1" x14ac:dyDescent="0.35"/>
    <row r="232" ht="6" hidden="1" customHeight="1" x14ac:dyDescent="0.35"/>
    <row r="233" ht="6" hidden="1" customHeight="1" x14ac:dyDescent="0.35"/>
    <row r="234" ht="6" hidden="1" customHeight="1" x14ac:dyDescent="0.35"/>
    <row r="235" ht="6" hidden="1" customHeight="1" x14ac:dyDescent="0.35"/>
    <row r="236" ht="6" hidden="1" customHeight="1" x14ac:dyDescent="0.35"/>
    <row r="237" ht="6" hidden="1" customHeight="1" x14ac:dyDescent="0.35"/>
    <row r="238" ht="6" hidden="1" customHeight="1" x14ac:dyDescent="0.35"/>
    <row r="239" ht="6" hidden="1" customHeight="1" x14ac:dyDescent="0.35"/>
    <row r="240" ht="6" hidden="1" customHeight="1" x14ac:dyDescent="0.35"/>
    <row r="241" ht="6" hidden="1" customHeight="1" x14ac:dyDescent="0.35"/>
    <row r="242" ht="6" hidden="1" customHeight="1" x14ac:dyDescent="0.35"/>
    <row r="243" ht="6" hidden="1" customHeight="1" x14ac:dyDescent="0.35"/>
    <row r="244" ht="6" hidden="1" customHeight="1" x14ac:dyDescent="0.35"/>
    <row r="245" ht="6" hidden="1" customHeight="1" x14ac:dyDescent="0.35"/>
    <row r="246" ht="6" hidden="1" customHeight="1" x14ac:dyDescent="0.35"/>
    <row r="247" ht="6" hidden="1" customHeight="1" x14ac:dyDescent="0.35"/>
    <row r="248" ht="6" hidden="1" customHeight="1" x14ac:dyDescent="0.35"/>
    <row r="249" ht="6" hidden="1" customHeight="1" x14ac:dyDescent="0.35"/>
    <row r="250" ht="6" hidden="1" customHeight="1" x14ac:dyDescent="0.35"/>
    <row r="251" ht="6" hidden="1" customHeight="1" x14ac:dyDescent="0.35"/>
    <row r="252" ht="6" hidden="1" customHeight="1" x14ac:dyDescent="0.35"/>
    <row r="253" ht="6" hidden="1" customHeight="1" x14ac:dyDescent="0.35"/>
    <row r="254" ht="6" hidden="1" customHeight="1" x14ac:dyDescent="0.35"/>
    <row r="255" ht="6" hidden="1" customHeight="1" x14ac:dyDescent="0.35"/>
    <row r="256" ht="6" hidden="1" customHeight="1" x14ac:dyDescent="0.35"/>
    <row r="257" ht="6" hidden="1" customHeight="1" x14ac:dyDescent="0.35"/>
    <row r="258" ht="6" hidden="1" customHeight="1" x14ac:dyDescent="0.35"/>
    <row r="259" ht="6" hidden="1" customHeight="1" x14ac:dyDescent="0.35"/>
    <row r="260" ht="6" hidden="1" customHeight="1" x14ac:dyDescent="0.35"/>
    <row r="261" ht="6" hidden="1" customHeight="1" x14ac:dyDescent="0.35"/>
    <row r="262" ht="6" hidden="1" customHeight="1" x14ac:dyDescent="0.35"/>
    <row r="263" ht="6" hidden="1" customHeight="1" x14ac:dyDescent="0.35"/>
    <row r="264" ht="6" hidden="1" customHeight="1" x14ac:dyDescent="0.35"/>
    <row r="265" ht="6" hidden="1" customHeight="1" x14ac:dyDescent="0.35"/>
    <row r="266" ht="6" hidden="1" customHeight="1" x14ac:dyDescent="0.35"/>
    <row r="267" ht="6" hidden="1" customHeight="1" x14ac:dyDescent="0.35"/>
    <row r="268" ht="6" hidden="1" customHeight="1" x14ac:dyDescent="0.35"/>
    <row r="269" ht="6" hidden="1" customHeight="1" x14ac:dyDescent="0.35"/>
    <row r="270" ht="6" hidden="1" customHeight="1" x14ac:dyDescent="0.35"/>
    <row r="271" ht="6" hidden="1" customHeight="1" x14ac:dyDescent="0.35"/>
    <row r="272" ht="6" hidden="1" customHeight="1" x14ac:dyDescent="0.35"/>
    <row r="273" ht="6" hidden="1" customHeight="1" x14ac:dyDescent="0.35"/>
    <row r="274" ht="6" hidden="1" customHeight="1" x14ac:dyDescent="0.35"/>
    <row r="275" ht="6" hidden="1" customHeight="1" x14ac:dyDescent="0.35"/>
    <row r="276" ht="6" hidden="1" customHeight="1" x14ac:dyDescent="0.35"/>
    <row r="277" ht="6" hidden="1" customHeight="1" x14ac:dyDescent="0.35"/>
    <row r="278" ht="6" hidden="1" customHeight="1" x14ac:dyDescent="0.35"/>
    <row r="279" ht="6" hidden="1" customHeight="1" x14ac:dyDescent="0.35"/>
    <row r="280" ht="6" hidden="1" customHeight="1" x14ac:dyDescent="0.35"/>
    <row r="281" ht="6" hidden="1" customHeight="1" x14ac:dyDescent="0.35"/>
    <row r="282" ht="6" hidden="1" customHeight="1" x14ac:dyDescent="0.35"/>
    <row r="283" ht="6" hidden="1" customHeight="1" x14ac:dyDescent="0.35"/>
    <row r="284" ht="6" hidden="1" customHeight="1" x14ac:dyDescent="0.35"/>
    <row r="285" ht="6" hidden="1" customHeight="1" x14ac:dyDescent="0.35"/>
    <row r="286" ht="6" hidden="1" customHeight="1" x14ac:dyDescent="0.35"/>
    <row r="287" ht="6" hidden="1" customHeight="1" x14ac:dyDescent="0.35"/>
    <row r="288" ht="6" hidden="1" customHeight="1" x14ac:dyDescent="0.35"/>
    <row r="289" ht="6" hidden="1" customHeight="1" x14ac:dyDescent="0.35"/>
    <row r="290" ht="6" hidden="1" customHeight="1" x14ac:dyDescent="0.35"/>
    <row r="291" ht="6" hidden="1" customHeight="1" x14ac:dyDescent="0.35"/>
    <row r="292" ht="6" hidden="1" customHeight="1" x14ac:dyDescent="0.35"/>
    <row r="293" ht="6" hidden="1" customHeight="1" x14ac:dyDescent="0.35"/>
    <row r="294" ht="6" hidden="1" customHeight="1" x14ac:dyDescent="0.35"/>
    <row r="295" ht="6" hidden="1" customHeight="1" x14ac:dyDescent="0.35"/>
    <row r="296" ht="6" hidden="1" customHeight="1" x14ac:dyDescent="0.35"/>
    <row r="297" ht="6" hidden="1" customHeight="1" x14ac:dyDescent="0.35"/>
    <row r="298" ht="6" hidden="1" customHeight="1" x14ac:dyDescent="0.35"/>
    <row r="299" ht="6" hidden="1" customHeight="1" x14ac:dyDescent="0.35"/>
    <row r="300" ht="6" hidden="1" customHeight="1" x14ac:dyDescent="0.35"/>
    <row r="301" ht="6" hidden="1" customHeight="1" x14ac:dyDescent="0.35"/>
    <row r="302" ht="6" hidden="1" customHeight="1" x14ac:dyDescent="0.35"/>
    <row r="303" ht="6" hidden="1" customHeight="1" x14ac:dyDescent="0.35"/>
    <row r="304" ht="6" hidden="1" customHeight="1" x14ac:dyDescent="0.35"/>
    <row r="305" ht="6" hidden="1" customHeight="1" x14ac:dyDescent="0.35"/>
    <row r="306" ht="6" hidden="1" customHeight="1" x14ac:dyDescent="0.35"/>
    <row r="307" ht="6" hidden="1" customHeight="1" x14ac:dyDescent="0.35"/>
    <row r="308" ht="6" hidden="1" customHeight="1" x14ac:dyDescent="0.35"/>
    <row r="309" ht="6" hidden="1" customHeight="1" x14ac:dyDescent="0.35"/>
    <row r="310" ht="6" hidden="1" customHeight="1" x14ac:dyDescent="0.35"/>
    <row r="311" ht="6" hidden="1" customHeight="1" x14ac:dyDescent="0.35"/>
    <row r="312" ht="6" hidden="1" customHeight="1" x14ac:dyDescent="0.35"/>
    <row r="313" ht="6" hidden="1" customHeight="1" x14ac:dyDescent="0.35"/>
    <row r="314" ht="6" hidden="1" customHeight="1" x14ac:dyDescent="0.35"/>
    <row r="315" ht="6" hidden="1" customHeight="1" x14ac:dyDescent="0.35"/>
    <row r="316" ht="6" hidden="1" customHeight="1" x14ac:dyDescent="0.35"/>
    <row r="317" ht="6" hidden="1" customHeight="1" x14ac:dyDescent="0.35"/>
    <row r="318" ht="6" hidden="1" customHeight="1" x14ac:dyDescent="0.35"/>
    <row r="319" ht="6" hidden="1" customHeight="1" x14ac:dyDescent="0.35"/>
    <row r="320" ht="6" hidden="1" customHeight="1" x14ac:dyDescent="0.35"/>
    <row r="321" ht="6" hidden="1" customHeight="1" x14ac:dyDescent="0.35"/>
    <row r="322" ht="6" hidden="1" customHeight="1" x14ac:dyDescent="0.35"/>
    <row r="323" ht="6" hidden="1" customHeight="1" x14ac:dyDescent="0.35"/>
    <row r="324" ht="6" hidden="1" customHeight="1" x14ac:dyDescent="0.35"/>
    <row r="325" ht="6" hidden="1" customHeight="1" x14ac:dyDescent="0.35"/>
    <row r="326" ht="6" hidden="1" customHeight="1" x14ac:dyDescent="0.35"/>
    <row r="327" ht="6" hidden="1" customHeight="1" x14ac:dyDescent="0.35"/>
    <row r="328" ht="6" hidden="1" customHeight="1" x14ac:dyDescent="0.35"/>
    <row r="329" ht="6" hidden="1" customHeight="1" x14ac:dyDescent="0.35"/>
    <row r="330" ht="6" hidden="1" customHeight="1" x14ac:dyDescent="0.35"/>
    <row r="331" ht="6" hidden="1" customHeight="1" x14ac:dyDescent="0.35"/>
    <row r="332" ht="6" hidden="1" customHeight="1" x14ac:dyDescent="0.35"/>
    <row r="333" ht="6" hidden="1" customHeight="1" x14ac:dyDescent="0.35"/>
    <row r="334" ht="6" hidden="1" customHeight="1" x14ac:dyDescent="0.35"/>
    <row r="335" ht="6" hidden="1" customHeight="1" x14ac:dyDescent="0.35"/>
    <row r="336" ht="6" hidden="1" customHeight="1" x14ac:dyDescent="0.35"/>
    <row r="337" ht="6" hidden="1" customHeight="1" x14ac:dyDescent="0.35"/>
    <row r="338" ht="6" hidden="1" customHeight="1" x14ac:dyDescent="0.35"/>
    <row r="339" ht="6" hidden="1" customHeight="1" x14ac:dyDescent="0.35"/>
    <row r="340" ht="6" hidden="1" customHeight="1" x14ac:dyDescent="0.35"/>
    <row r="341" ht="6" hidden="1" customHeight="1" x14ac:dyDescent="0.35"/>
    <row r="342" ht="6" hidden="1" customHeight="1" x14ac:dyDescent="0.35"/>
    <row r="343" ht="6" hidden="1" customHeight="1" x14ac:dyDescent="0.35"/>
    <row r="344" ht="6" hidden="1" customHeight="1" x14ac:dyDescent="0.35"/>
    <row r="345" ht="6" hidden="1" customHeight="1" x14ac:dyDescent="0.35"/>
    <row r="346" ht="6" hidden="1" customHeight="1" x14ac:dyDescent="0.35"/>
    <row r="347" ht="6" hidden="1" customHeight="1" x14ac:dyDescent="0.35"/>
    <row r="348" ht="6" hidden="1" customHeight="1" x14ac:dyDescent="0.35"/>
    <row r="349" ht="6" hidden="1" customHeight="1" x14ac:dyDescent="0.35"/>
    <row r="350" ht="6" hidden="1" customHeight="1" x14ac:dyDescent="0.35"/>
    <row r="351" ht="6" hidden="1" customHeight="1" x14ac:dyDescent="0.35"/>
    <row r="352" ht="6" hidden="1" customHeight="1" x14ac:dyDescent="0.35"/>
    <row r="353" ht="6" hidden="1" customHeight="1" x14ac:dyDescent="0.35"/>
    <row r="354" ht="6" hidden="1" customHeight="1" x14ac:dyDescent="0.35"/>
    <row r="355" ht="6" hidden="1" customHeight="1" x14ac:dyDescent="0.35"/>
    <row r="356" ht="6" hidden="1" customHeight="1" x14ac:dyDescent="0.35"/>
    <row r="357" ht="6" hidden="1" customHeight="1" x14ac:dyDescent="0.35"/>
    <row r="358" ht="6" hidden="1" customHeight="1" x14ac:dyDescent="0.35"/>
    <row r="359" ht="6" hidden="1" customHeight="1" x14ac:dyDescent="0.35"/>
    <row r="360" ht="6" hidden="1" customHeight="1" x14ac:dyDescent="0.35"/>
    <row r="361" ht="6" hidden="1" customHeight="1" x14ac:dyDescent="0.35"/>
    <row r="362" ht="6" hidden="1" customHeight="1" x14ac:dyDescent="0.35"/>
    <row r="363" ht="6" hidden="1" customHeight="1" x14ac:dyDescent="0.35"/>
    <row r="364" ht="6" hidden="1" customHeight="1" x14ac:dyDescent="0.35"/>
    <row r="365" ht="6" hidden="1" customHeight="1" x14ac:dyDescent="0.35"/>
    <row r="366" ht="6" hidden="1" customHeight="1" x14ac:dyDescent="0.35"/>
    <row r="367" ht="6" hidden="1" customHeight="1" x14ac:dyDescent="0.35"/>
    <row r="368" ht="6" hidden="1" customHeight="1" x14ac:dyDescent="0.35"/>
    <row r="369" ht="6" hidden="1" customHeight="1" x14ac:dyDescent="0.35"/>
    <row r="370" ht="6" hidden="1" customHeight="1" x14ac:dyDescent="0.35"/>
    <row r="371" ht="6" hidden="1" customHeight="1" x14ac:dyDescent="0.35"/>
    <row r="372" ht="6" hidden="1" customHeight="1" x14ac:dyDescent="0.35"/>
    <row r="373" ht="6" hidden="1" customHeight="1" x14ac:dyDescent="0.35"/>
    <row r="374" ht="6" hidden="1" customHeight="1" x14ac:dyDescent="0.35"/>
    <row r="375" ht="6" hidden="1" customHeight="1" x14ac:dyDescent="0.35"/>
    <row r="376" ht="6" hidden="1" customHeight="1" x14ac:dyDescent="0.35"/>
    <row r="377" ht="6" hidden="1" customHeight="1" x14ac:dyDescent="0.35"/>
    <row r="378" ht="6" hidden="1" customHeight="1" x14ac:dyDescent="0.35"/>
    <row r="379" ht="6" hidden="1" customHeight="1" x14ac:dyDescent="0.35"/>
    <row r="380" ht="6" hidden="1" customHeight="1" x14ac:dyDescent="0.35"/>
    <row r="381" ht="6" hidden="1" customHeight="1" x14ac:dyDescent="0.35"/>
    <row r="382" ht="6" hidden="1" customHeight="1" x14ac:dyDescent="0.35"/>
    <row r="383" ht="6" hidden="1" customHeight="1" x14ac:dyDescent="0.35"/>
    <row r="384" ht="6" hidden="1" customHeight="1" x14ac:dyDescent="0.35"/>
    <row r="385" ht="6" hidden="1" customHeight="1" x14ac:dyDescent="0.35"/>
    <row r="386" ht="6" hidden="1" customHeight="1" x14ac:dyDescent="0.35"/>
    <row r="387" ht="6" hidden="1" customHeight="1" x14ac:dyDescent="0.35"/>
    <row r="388" ht="6" hidden="1" customHeight="1" x14ac:dyDescent="0.35"/>
    <row r="389" ht="6" hidden="1" customHeight="1" x14ac:dyDescent="0.35"/>
    <row r="390" ht="6" hidden="1" customHeight="1" x14ac:dyDescent="0.35"/>
    <row r="391" ht="6" hidden="1" customHeight="1" x14ac:dyDescent="0.35"/>
    <row r="392" ht="6" hidden="1" customHeight="1" x14ac:dyDescent="0.35"/>
    <row r="393" ht="6" hidden="1" customHeight="1" x14ac:dyDescent="0.35"/>
    <row r="394" ht="6" hidden="1" customHeight="1" x14ac:dyDescent="0.35"/>
    <row r="395" ht="6" hidden="1" customHeight="1" x14ac:dyDescent="0.35"/>
    <row r="396" ht="6" hidden="1" customHeight="1" x14ac:dyDescent="0.35"/>
    <row r="397" ht="6" hidden="1" customHeight="1" x14ac:dyDescent="0.35"/>
    <row r="398" ht="6" hidden="1" customHeight="1" x14ac:dyDescent="0.35"/>
    <row r="399" ht="6" hidden="1" customHeight="1" x14ac:dyDescent="0.35"/>
    <row r="400" ht="6" hidden="1" customHeight="1" x14ac:dyDescent="0.35"/>
    <row r="401" ht="6" hidden="1" customHeight="1" x14ac:dyDescent="0.35"/>
    <row r="402" ht="6" hidden="1" customHeight="1" x14ac:dyDescent="0.35"/>
    <row r="403" ht="6" hidden="1" customHeight="1" x14ac:dyDescent="0.35"/>
    <row r="404" ht="6" hidden="1" customHeight="1" x14ac:dyDescent="0.35"/>
    <row r="405" ht="6" hidden="1" customHeight="1" x14ac:dyDescent="0.35"/>
    <row r="406" ht="6" hidden="1" customHeight="1" x14ac:dyDescent="0.35"/>
    <row r="407" ht="6" hidden="1" customHeight="1" x14ac:dyDescent="0.35"/>
    <row r="408" ht="6" hidden="1" customHeight="1" x14ac:dyDescent="0.35"/>
    <row r="409" ht="6" hidden="1" customHeight="1" x14ac:dyDescent="0.35"/>
    <row r="410" ht="6" hidden="1" customHeight="1" x14ac:dyDescent="0.35"/>
    <row r="411" ht="6" hidden="1" customHeight="1" x14ac:dyDescent="0.35"/>
    <row r="412" ht="6" hidden="1" customHeight="1" x14ac:dyDescent="0.35"/>
    <row r="413" ht="6" hidden="1" customHeight="1" x14ac:dyDescent="0.35"/>
    <row r="414" ht="6" hidden="1" customHeight="1" x14ac:dyDescent="0.35"/>
    <row r="415" ht="6" hidden="1" customHeight="1" x14ac:dyDescent="0.35"/>
    <row r="416" ht="6" hidden="1" customHeight="1" x14ac:dyDescent="0.35"/>
    <row r="417" ht="6" hidden="1" customHeight="1" x14ac:dyDescent="0.35"/>
    <row r="418" ht="6" hidden="1" customHeight="1" x14ac:dyDescent="0.35"/>
    <row r="419" ht="6" hidden="1" customHeight="1" x14ac:dyDescent="0.35"/>
    <row r="420" ht="6" hidden="1" customHeight="1" x14ac:dyDescent="0.35"/>
    <row r="421" ht="6" hidden="1" customHeight="1" x14ac:dyDescent="0.35"/>
    <row r="422" ht="6" hidden="1" customHeight="1" x14ac:dyDescent="0.35"/>
    <row r="423" ht="6" hidden="1" customHeight="1" x14ac:dyDescent="0.35"/>
    <row r="424" ht="6" hidden="1" customHeight="1" x14ac:dyDescent="0.35"/>
    <row r="425" ht="6" hidden="1" customHeight="1" x14ac:dyDescent="0.35"/>
    <row r="426" ht="6" hidden="1" customHeight="1" x14ac:dyDescent="0.35"/>
    <row r="427" ht="6" hidden="1" customHeight="1" x14ac:dyDescent="0.35"/>
    <row r="428" ht="6" hidden="1" customHeight="1" x14ac:dyDescent="0.35"/>
    <row r="429" ht="6" hidden="1" customHeight="1" x14ac:dyDescent="0.35"/>
    <row r="430" ht="6" hidden="1" customHeight="1" x14ac:dyDescent="0.35"/>
    <row r="431" ht="6" hidden="1" customHeight="1" x14ac:dyDescent="0.35"/>
    <row r="432" ht="6" hidden="1" customHeight="1" x14ac:dyDescent="0.35"/>
    <row r="433" ht="6" hidden="1" customHeight="1" x14ac:dyDescent="0.35"/>
    <row r="434" ht="6" hidden="1" customHeight="1" x14ac:dyDescent="0.35"/>
    <row r="435" ht="6" hidden="1" customHeight="1" x14ac:dyDescent="0.35"/>
    <row r="436" ht="6" hidden="1" customHeight="1" x14ac:dyDescent="0.35"/>
    <row r="437" ht="6" hidden="1" customHeight="1" x14ac:dyDescent="0.35"/>
    <row r="438" ht="6" hidden="1" customHeight="1" x14ac:dyDescent="0.35"/>
    <row r="439" ht="6" hidden="1" customHeight="1" x14ac:dyDescent="0.35"/>
    <row r="440" ht="6" hidden="1" customHeight="1" x14ac:dyDescent="0.35"/>
    <row r="441" ht="6" hidden="1" customHeight="1" x14ac:dyDescent="0.35"/>
    <row r="442" ht="6" hidden="1" customHeight="1" x14ac:dyDescent="0.35"/>
    <row r="443" ht="6" hidden="1" customHeight="1" x14ac:dyDescent="0.35"/>
    <row r="444" ht="6" hidden="1" customHeight="1" x14ac:dyDescent="0.35"/>
    <row r="445" ht="6" hidden="1" customHeight="1" x14ac:dyDescent="0.35"/>
    <row r="446" ht="6" hidden="1" customHeight="1" x14ac:dyDescent="0.35"/>
    <row r="447" ht="6" hidden="1" customHeight="1" x14ac:dyDescent="0.35"/>
    <row r="448" ht="6" hidden="1" customHeight="1" x14ac:dyDescent="0.35"/>
    <row r="449" ht="6" hidden="1" customHeight="1" x14ac:dyDescent="0.35"/>
    <row r="450" ht="6" hidden="1" customHeight="1" x14ac:dyDescent="0.35"/>
    <row r="451" ht="6" hidden="1" customHeight="1" x14ac:dyDescent="0.35"/>
    <row r="452" ht="6" hidden="1" customHeight="1" x14ac:dyDescent="0.35"/>
    <row r="453" ht="6" hidden="1" customHeight="1" x14ac:dyDescent="0.35"/>
    <row r="454" ht="6" hidden="1" customHeight="1" x14ac:dyDescent="0.35"/>
    <row r="455" ht="6" hidden="1" customHeight="1" x14ac:dyDescent="0.35"/>
    <row r="456" ht="6" hidden="1" customHeight="1" x14ac:dyDescent="0.35"/>
    <row r="457" ht="6" hidden="1" customHeight="1" x14ac:dyDescent="0.35"/>
    <row r="458" ht="6" hidden="1" customHeight="1" x14ac:dyDescent="0.35"/>
    <row r="459" ht="6" hidden="1" customHeight="1" x14ac:dyDescent="0.35"/>
    <row r="460" ht="6" hidden="1" customHeight="1" x14ac:dyDescent="0.35"/>
    <row r="461" ht="6" hidden="1" customHeight="1" x14ac:dyDescent="0.35"/>
    <row r="462" ht="6" hidden="1" customHeight="1" x14ac:dyDescent="0.35"/>
    <row r="463" ht="6" hidden="1" customHeight="1" x14ac:dyDescent="0.35"/>
    <row r="464" ht="6" hidden="1" customHeight="1" x14ac:dyDescent="0.35"/>
    <row r="465" ht="6" hidden="1" customHeight="1" x14ac:dyDescent="0.35"/>
    <row r="466" ht="6" hidden="1" customHeight="1" x14ac:dyDescent="0.35"/>
    <row r="467" ht="6" hidden="1" customHeight="1" x14ac:dyDescent="0.35"/>
    <row r="468" ht="6" hidden="1" customHeight="1" x14ac:dyDescent="0.35"/>
    <row r="469" ht="6" hidden="1" customHeight="1" x14ac:dyDescent="0.35"/>
    <row r="470" ht="6" hidden="1" customHeight="1" x14ac:dyDescent="0.35"/>
    <row r="471" ht="6" hidden="1" customHeight="1" x14ac:dyDescent="0.35"/>
    <row r="472" ht="6" hidden="1" customHeight="1" x14ac:dyDescent="0.35"/>
    <row r="473" ht="6" hidden="1" customHeight="1" x14ac:dyDescent="0.35"/>
    <row r="474" ht="6" hidden="1" customHeight="1" x14ac:dyDescent="0.35"/>
    <row r="475" ht="6" hidden="1" customHeight="1" x14ac:dyDescent="0.35"/>
    <row r="476" ht="6" hidden="1" customHeight="1" x14ac:dyDescent="0.35"/>
    <row r="477" ht="6" hidden="1" customHeight="1" x14ac:dyDescent="0.35"/>
    <row r="478" ht="6" hidden="1" customHeight="1" x14ac:dyDescent="0.35"/>
    <row r="479" ht="6" hidden="1" customHeight="1" x14ac:dyDescent="0.35"/>
    <row r="480" ht="6" hidden="1" customHeight="1" x14ac:dyDescent="0.35"/>
    <row r="481" ht="6" hidden="1" customHeight="1" x14ac:dyDescent="0.35"/>
    <row r="482" ht="6" hidden="1" customHeight="1" x14ac:dyDescent="0.35"/>
    <row r="483" ht="6" hidden="1" customHeight="1" x14ac:dyDescent="0.35"/>
    <row r="484" ht="6" hidden="1" customHeight="1" x14ac:dyDescent="0.35"/>
    <row r="485" ht="6" hidden="1" customHeight="1" x14ac:dyDescent="0.35"/>
    <row r="486" ht="6" hidden="1" customHeight="1" x14ac:dyDescent="0.35"/>
    <row r="487" ht="6" hidden="1" customHeight="1" x14ac:dyDescent="0.35"/>
    <row r="488" ht="6" hidden="1" customHeight="1" x14ac:dyDescent="0.35"/>
    <row r="489" ht="6" hidden="1" customHeight="1" x14ac:dyDescent="0.35"/>
    <row r="490" ht="6" hidden="1" customHeight="1" x14ac:dyDescent="0.35"/>
    <row r="491" ht="6" hidden="1" customHeight="1" x14ac:dyDescent="0.35"/>
    <row r="492" ht="6" hidden="1" customHeight="1" x14ac:dyDescent="0.35"/>
    <row r="493" ht="6" hidden="1" customHeight="1" x14ac:dyDescent="0.35"/>
    <row r="494" ht="6" hidden="1" customHeight="1" x14ac:dyDescent="0.35"/>
    <row r="495" ht="6" hidden="1" customHeight="1" x14ac:dyDescent="0.35"/>
    <row r="496" ht="6" hidden="1" customHeight="1" x14ac:dyDescent="0.35"/>
    <row r="497" ht="6" hidden="1" customHeight="1" x14ac:dyDescent="0.35"/>
    <row r="498" ht="6" hidden="1" customHeight="1" x14ac:dyDescent="0.35"/>
    <row r="499" ht="6" hidden="1" customHeight="1" x14ac:dyDescent="0.35"/>
    <row r="500" ht="6" hidden="1" customHeight="1" x14ac:dyDescent="0.35"/>
    <row r="501" ht="6" hidden="1" customHeight="1" x14ac:dyDescent="0.35"/>
    <row r="502" ht="6" hidden="1" customHeight="1" x14ac:dyDescent="0.35"/>
    <row r="503" ht="6" hidden="1" customHeight="1" x14ac:dyDescent="0.35"/>
    <row r="504" ht="6" hidden="1" customHeight="1" x14ac:dyDescent="0.35"/>
    <row r="505" ht="6" hidden="1" customHeight="1" x14ac:dyDescent="0.35"/>
    <row r="506" ht="6" hidden="1" customHeight="1" x14ac:dyDescent="0.35"/>
    <row r="507" ht="6" hidden="1" customHeight="1" x14ac:dyDescent="0.35"/>
    <row r="508" ht="6" hidden="1" customHeight="1" x14ac:dyDescent="0.35"/>
    <row r="509" ht="6" hidden="1" customHeight="1" x14ac:dyDescent="0.35"/>
    <row r="510" ht="6" hidden="1" customHeight="1" x14ac:dyDescent="0.35"/>
    <row r="511" ht="6" hidden="1" customHeight="1" x14ac:dyDescent="0.35"/>
    <row r="512" ht="6" hidden="1" customHeight="1" x14ac:dyDescent="0.35"/>
    <row r="513" ht="6" hidden="1" customHeight="1" x14ac:dyDescent="0.35"/>
    <row r="514" ht="6" hidden="1" customHeight="1" x14ac:dyDescent="0.35"/>
    <row r="515" ht="6" hidden="1" customHeight="1" x14ac:dyDescent="0.35"/>
    <row r="516" ht="6" hidden="1" customHeight="1" x14ac:dyDescent="0.35"/>
    <row r="517" ht="6" hidden="1" customHeight="1" x14ac:dyDescent="0.35"/>
    <row r="518" ht="6" hidden="1" customHeight="1" x14ac:dyDescent="0.35"/>
    <row r="519" ht="6" hidden="1" customHeight="1" x14ac:dyDescent="0.35"/>
    <row r="520" ht="6" hidden="1" customHeight="1" x14ac:dyDescent="0.35"/>
    <row r="521" ht="6" hidden="1" customHeight="1" x14ac:dyDescent="0.35"/>
    <row r="522" ht="6" hidden="1" customHeight="1" x14ac:dyDescent="0.35"/>
    <row r="523" ht="6" hidden="1" customHeight="1" x14ac:dyDescent="0.35"/>
    <row r="524" ht="6" hidden="1" customHeight="1" x14ac:dyDescent="0.35"/>
    <row r="525" ht="6" hidden="1" customHeight="1" x14ac:dyDescent="0.35"/>
    <row r="526" ht="6" hidden="1" customHeight="1" x14ac:dyDescent="0.35"/>
    <row r="527" ht="6" hidden="1" customHeight="1" x14ac:dyDescent="0.35"/>
    <row r="528" ht="6" hidden="1" customHeight="1" x14ac:dyDescent="0.35"/>
    <row r="529" ht="6" hidden="1" customHeight="1" x14ac:dyDescent="0.35"/>
    <row r="530" ht="6" hidden="1" customHeight="1" x14ac:dyDescent="0.35"/>
    <row r="531" ht="6" hidden="1" customHeight="1" x14ac:dyDescent="0.35"/>
    <row r="532" ht="6" hidden="1" customHeight="1" x14ac:dyDescent="0.35"/>
    <row r="533" ht="6" hidden="1" customHeight="1" x14ac:dyDescent="0.35"/>
    <row r="534" ht="6" hidden="1" customHeight="1" x14ac:dyDescent="0.35"/>
    <row r="535" ht="6" hidden="1" customHeight="1" x14ac:dyDescent="0.35"/>
    <row r="536" ht="6" hidden="1" customHeight="1" x14ac:dyDescent="0.35"/>
    <row r="537" ht="6" hidden="1" customHeight="1" x14ac:dyDescent="0.35"/>
    <row r="538" ht="6" hidden="1" customHeight="1" x14ac:dyDescent="0.35"/>
    <row r="539" ht="6" hidden="1" customHeight="1" x14ac:dyDescent="0.35"/>
    <row r="540" ht="6" hidden="1" customHeight="1" x14ac:dyDescent="0.35"/>
    <row r="541" ht="6" hidden="1" customHeight="1" x14ac:dyDescent="0.35"/>
    <row r="542" ht="6" hidden="1" customHeight="1" x14ac:dyDescent="0.35"/>
    <row r="543" ht="6" hidden="1" customHeight="1" x14ac:dyDescent="0.35"/>
    <row r="544" ht="6" hidden="1" customHeight="1" x14ac:dyDescent="0.35"/>
    <row r="545" ht="6" hidden="1" customHeight="1" x14ac:dyDescent="0.35"/>
    <row r="546" ht="6" hidden="1" customHeight="1" x14ac:dyDescent="0.35"/>
    <row r="547" ht="6" hidden="1" customHeight="1" x14ac:dyDescent="0.35"/>
    <row r="548" ht="6" hidden="1" customHeight="1" x14ac:dyDescent="0.35"/>
    <row r="549" ht="6" hidden="1" customHeight="1" x14ac:dyDescent="0.35"/>
    <row r="550" ht="6" hidden="1" customHeight="1" x14ac:dyDescent="0.35"/>
    <row r="551" ht="6" hidden="1" customHeight="1" x14ac:dyDescent="0.35"/>
    <row r="552" ht="6" hidden="1" customHeight="1" x14ac:dyDescent="0.35"/>
    <row r="553" ht="6" hidden="1" customHeight="1" x14ac:dyDescent="0.35"/>
    <row r="554" ht="6" hidden="1" customHeight="1" x14ac:dyDescent="0.35"/>
    <row r="555" ht="6" hidden="1" customHeight="1" x14ac:dyDescent="0.35"/>
    <row r="556" ht="6" hidden="1" customHeight="1" x14ac:dyDescent="0.35"/>
    <row r="557" ht="6" hidden="1" customHeight="1" x14ac:dyDescent="0.35"/>
    <row r="558" ht="6" hidden="1" customHeight="1" x14ac:dyDescent="0.35"/>
    <row r="559" ht="6" hidden="1" customHeight="1" x14ac:dyDescent="0.35"/>
    <row r="560" ht="6" hidden="1" customHeight="1" x14ac:dyDescent="0.35"/>
    <row r="561" ht="6" hidden="1" customHeight="1" x14ac:dyDescent="0.35"/>
    <row r="562" ht="6" hidden="1" customHeight="1" x14ac:dyDescent="0.35"/>
    <row r="563" ht="6" hidden="1" customHeight="1" x14ac:dyDescent="0.35"/>
    <row r="564" ht="6" hidden="1" customHeight="1" x14ac:dyDescent="0.35"/>
    <row r="565" ht="6" hidden="1" customHeight="1" x14ac:dyDescent="0.35"/>
    <row r="566" ht="6" hidden="1" customHeight="1" x14ac:dyDescent="0.35"/>
    <row r="567" ht="6" hidden="1" customHeight="1" x14ac:dyDescent="0.35"/>
    <row r="568" ht="6" hidden="1" customHeight="1" x14ac:dyDescent="0.35"/>
    <row r="569" ht="6" hidden="1" customHeight="1" x14ac:dyDescent="0.35"/>
    <row r="570" ht="6" hidden="1" customHeight="1" x14ac:dyDescent="0.35"/>
    <row r="571" ht="6" hidden="1" customHeight="1" x14ac:dyDescent="0.35"/>
    <row r="572" ht="6" hidden="1" customHeight="1" x14ac:dyDescent="0.35"/>
    <row r="573" ht="6" hidden="1" customHeight="1" x14ac:dyDescent="0.35"/>
    <row r="574" ht="6" hidden="1" customHeight="1" x14ac:dyDescent="0.35"/>
    <row r="575" ht="6" hidden="1" customHeight="1" x14ac:dyDescent="0.35"/>
    <row r="576" ht="6" hidden="1" customHeight="1" x14ac:dyDescent="0.35"/>
    <row r="577" ht="6" hidden="1" customHeight="1" x14ac:dyDescent="0.35"/>
    <row r="578" ht="6" hidden="1" customHeight="1" x14ac:dyDescent="0.35"/>
    <row r="579" ht="6" hidden="1" customHeight="1" x14ac:dyDescent="0.35"/>
    <row r="580" ht="6" hidden="1" customHeight="1" x14ac:dyDescent="0.35"/>
    <row r="581" ht="6" hidden="1" customHeight="1" x14ac:dyDescent="0.35"/>
    <row r="582" ht="6" hidden="1" customHeight="1" x14ac:dyDescent="0.35"/>
    <row r="583" ht="6" hidden="1" customHeight="1" x14ac:dyDescent="0.35"/>
    <row r="584" ht="6" hidden="1" customHeight="1" x14ac:dyDescent="0.35"/>
    <row r="585" ht="6" hidden="1" customHeight="1" x14ac:dyDescent="0.35"/>
    <row r="586" ht="6" hidden="1" customHeight="1" x14ac:dyDescent="0.35"/>
    <row r="587" ht="6" hidden="1" customHeight="1" x14ac:dyDescent="0.35"/>
    <row r="588" ht="6" hidden="1" customHeight="1" x14ac:dyDescent="0.35"/>
    <row r="589" ht="6" hidden="1" customHeight="1" x14ac:dyDescent="0.35"/>
    <row r="590" ht="6" hidden="1" customHeight="1" x14ac:dyDescent="0.35"/>
    <row r="591" ht="6" hidden="1" customHeight="1" x14ac:dyDescent="0.35"/>
    <row r="592" ht="6" hidden="1" customHeight="1" x14ac:dyDescent="0.35"/>
    <row r="593" ht="6" hidden="1" customHeight="1" x14ac:dyDescent="0.35"/>
    <row r="594" ht="6" hidden="1" customHeight="1" x14ac:dyDescent="0.35"/>
    <row r="595" ht="6" hidden="1" customHeight="1" x14ac:dyDescent="0.35"/>
    <row r="596" ht="6" hidden="1" customHeight="1" x14ac:dyDescent="0.35"/>
    <row r="597" ht="6" hidden="1" customHeight="1" x14ac:dyDescent="0.35"/>
    <row r="598" ht="6" hidden="1" customHeight="1" x14ac:dyDescent="0.35"/>
    <row r="599" ht="6" hidden="1" customHeight="1" x14ac:dyDescent="0.35"/>
    <row r="600" ht="6" hidden="1" customHeight="1" x14ac:dyDescent="0.35"/>
    <row r="601" ht="6" hidden="1" customHeight="1" x14ac:dyDescent="0.35"/>
    <row r="602" ht="6" hidden="1" customHeight="1" x14ac:dyDescent="0.35"/>
    <row r="603" ht="6" hidden="1" customHeight="1" x14ac:dyDescent="0.35"/>
    <row r="604" ht="6" hidden="1" customHeight="1" x14ac:dyDescent="0.35"/>
    <row r="605" ht="6" hidden="1" customHeight="1" x14ac:dyDescent="0.35"/>
    <row r="606" ht="6" hidden="1" customHeight="1" x14ac:dyDescent="0.35"/>
    <row r="607" ht="6" hidden="1" customHeight="1" x14ac:dyDescent="0.35"/>
    <row r="608" ht="6" hidden="1" customHeight="1" x14ac:dyDescent="0.35"/>
    <row r="609" ht="6" hidden="1" customHeight="1" x14ac:dyDescent="0.35"/>
    <row r="610" ht="6" hidden="1" customHeight="1" x14ac:dyDescent="0.35"/>
    <row r="611" ht="6" hidden="1" customHeight="1" x14ac:dyDescent="0.35"/>
    <row r="612" ht="6" hidden="1" customHeight="1" x14ac:dyDescent="0.35"/>
    <row r="613" ht="6" hidden="1" customHeight="1" x14ac:dyDescent="0.35"/>
    <row r="614" ht="6" hidden="1" customHeight="1" x14ac:dyDescent="0.35"/>
    <row r="615" ht="6" hidden="1" customHeight="1" x14ac:dyDescent="0.35"/>
    <row r="616" ht="6" hidden="1" customHeight="1" x14ac:dyDescent="0.35"/>
    <row r="617" ht="6" hidden="1" customHeight="1" x14ac:dyDescent="0.35"/>
    <row r="618" ht="6" hidden="1" customHeight="1" x14ac:dyDescent="0.35"/>
    <row r="619" ht="6" hidden="1" customHeight="1" x14ac:dyDescent="0.35"/>
    <row r="620" ht="6" hidden="1" customHeight="1" x14ac:dyDescent="0.35"/>
    <row r="621" ht="6" hidden="1" customHeight="1" x14ac:dyDescent="0.35"/>
    <row r="622" ht="6" hidden="1" customHeight="1" x14ac:dyDescent="0.35"/>
    <row r="623" ht="6" hidden="1" customHeight="1" x14ac:dyDescent="0.35"/>
    <row r="624" ht="6" hidden="1" customHeight="1" x14ac:dyDescent="0.35"/>
    <row r="625" ht="6" hidden="1" customHeight="1" x14ac:dyDescent="0.35"/>
    <row r="626" ht="6" hidden="1" customHeight="1" x14ac:dyDescent="0.35"/>
    <row r="627" ht="6" hidden="1" customHeight="1" x14ac:dyDescent="0.35"/>
    <row r="628" ht="6" hidden="1" customHeight="1" x14ac:dyDescent="0.35"/>
    <row r="629" ht="6" hidden="1" customHeight="1" x14ac:dyDescent="0.35"/>
    <row r="630" ht="6" hidden="1" customHeight="1" x14ac:dyDescent="0.35"/>
    <row r="631" ht="6" hidden="1" customHeight="1" x14ac:dyDescent="0.35"/>
    <row r="632" ht="6" hidden="1" customHeight="1" x14ac:dyDescent="0.35"/>
    <row r="633" ht="6" hidden="1" customHeight="1" x14ac:dyDescent="0.35"/>
    <row r="634" ht="6" hidden="1" customHeight="1" x14ac:dyDescent="0.35"/>
    <row r="635" ht="6" hidden="1" customHeight="1" x14ac:dyDescent="0.35"/>
    <row r="636" ht="6" hidden="1" customHeight="1" x14ac:dyDescent="0.35"/>
    <row r="637" ht="6" hidden="1" customHeight="1" x14ac:dyDescent="0.35"/>
    <row r="638" ht="6" hidden="1" customHeight="1" x14ac:dyDescent="0.35"/>
    <row r="639" ht="6" hidden="1" customHeight="1" x14ac:dyDescent="0.35"/>
    <row r="640" ht="6" hidden="1" customHeight="1" x14ac:dyDescent="0.35"/>
    <row r="641" ht="6" hidden="1" customHeight="1" x14ac:dyDescent="0.35"/>
    <row r="642" ht="6" hidden="1" customHeight="1" x14ac:dyDescent="0.35"/>
    <row r="643" ht="6" hidden="1" customHeight="1" x14ac:dyDescent="0.35"/>
    <row r="644" ht="6" hidden="1" customHeight="1" x14ac:dyDescent="0.35"/>
    <row r="645" ht="6" hidden="1" customHeight="1" x14ac:dyDescent="0.35"/>
    <row r="646" ht="6" hidden="1" customHeight="1" x14ac:dyDescent="0.35"/>
    <row r="647" ht="6" hidden="1" customHeight="1" x14ac:dyDescent="0.35"/>
    <row r="648" ht="6" hidden="1" customHeight="1" x14ac:dyDescent="0.35"/>
    <row r="649" ht="6" hidden="1" customHeight="1" x14ac:dyDescent="0.35"/>
    <row r="650" ht="6" hidden="1" customHeight="1" x14ac:dyDescent="0.35"/>
    <row r="651" ht="6" hidden="1" customHeight="1" x14ac:dyDescent="0.35"/>
    <row r="652" ht="6" hidden="1" customHeight="1" x14ac:dyDescent="0.35"/>
    <row r="653" ht="6" hidden="1" customHeight="1" x14ac:dyDescent="0.35"/>
    <row r="654" ht="6" hidden="1" customHeight="1" x14ac:dyDescent="0.35"/>
    <row r="655" ht="6" hidden="1" customHeight="1" x14ac:dyDescent="0.35"/>
    <row r="656" ht="6" hidden="1" customHeight="1" x14ac:dyDescent="0.35"/>
    <row r="657" ht="6" hidden="1" customHeight="1" x14ac:dyDescent="0.35"/>
    <row r="658" ht="6" hidden="1" customHeight="1" x14ac:dyDescent="0.35"/>
    <row r="659" ht="6" hidden="1" customHeight="1" x14ac:dyDescent="0.35"/>
    <row r="660" ht="6" hidden="1" customHeight="1" x14ac:dyDescent="0.35"/>
    <row r="661" ht="6" hidden="1" customHeight="1" x14ac:dyDescent="0.35"/>
    <row r="662" ht="6" hidden="1" customHeight="1" x14ac:dyDescent="0.35"/>
    <row r="663" ht="6" hidden="1" customHeight="1" x14ac:dyDescent="0.35"/>
    <row r="664" ht="6" hidden="1" customHeight="1" x14ac:dyDescent="0.35"/>
    <row r="665" ht="6" hidden="1" customHeight="1" x14ac:dyDescent="0.35"/>
    <row r="666" ht="6" hidden="1" customHeight="1" x14ac:dyDescent="0.35"/>
    <row r="667" ht="6" hidden="1" customHeight="1" x14ac:dyDescent="0.35"/>
    <row r="668" ht="6" hidden="1" customHeight="1" x14ac:dyDescent="0.35"/>
    <row r="669" ht="6" hidden="1" customHeight="1" x14ac:dyDescent="0.35"/>
    <row r="670" ht="6" hidden="1" customHeight="1" x14ac:dyDescent="0.35"/>
    <row r="671" ht="6" hidden="1" customHeight="1" x14ac:dyDescent="0.35"/>
    <row r="672" ht="6" hidden="1" customHeight="1" x14ac:dyDescent="0.35"/>
    <row r="673" ht="6" hidden="1" customHeight="1" x14ac:dyDescent="0.35"/>
    <row r="674" ht="6" hidden="1" customHeight="1" x14ac:dyDescent="0.35"/>
    <row r="675" ht="6" hidden="1" customHeight="1" x14ac:dyDescent="0.35"/>
    <row r="676" ht="6" hidden="1" customHeight="1" x14ac:dyDescent="0.35"/>
    <row r="677" ht="6" hidden="1" customHeight="1" x14ac:dyDescent="0.35"/>
    <row r="678" ht="6" hidden="1" customHeight="1" x14ac:dyDescent="0.35"/>
    <row r="679" ht="6" hidden="1" customHeight="1" x14ac:dyDescent="0.35"/>
    <row r="680" ht="6" hidden="1" customHeight="1" x14ac:dyDescent="0.35"/>
    <row r="681" ht="6" hidden="1" customHeight="1" x14ac:dyDescent="0.35"/>
    <row r="682" ht="6" hidden="1" customHeight="1" x14ac:dyDescent="0.35"/>
    <row r="683" ht="6" hidden="1" customHeight="1" x14ac:dyDescent="0.35"/>
    <row r="684" ht="6" hidden="1" customHeight="1" x14ac:dyDescent="0.35"/>
    <row r="685" ht="6" hidden="1" customHeight="1" x14ac:dyDescent="0.35"/>
    <row r="686" ht="6" hidden="1" customHeight="1" x14ac:dyDescent="0.35"/>
    <row r="687" ht="6" hidden="1" customHeight="1" x14ac:dyDescent="0.35"/>
    <row r="688" ht="6" hidden="1" customHeight="1" x14ac:dyDescent="0.35"/>
    <row r="689" ht="6" hidden="1" customHeight="1" x14ac:dyDescent="0.35"/>
    <row r="690" ht="6" hidden="1" customHeight="1" x14ac:dyDescent="0.35"/>
    <row r="691" ht="6" hidden="1" customHeight="1" x14ac:dyDescent="0.35"/>
    <row r="692" ht="6" hidden="1" customHeight="1" x14ac:dyDescent="0.35"/>
    <row r="693" ht="6" hidden="1" customHeight="1" x14ac:dyDescent="0.35"/>
    <row r="694" ht="6" hidden="1" customHeight="1" x14ac:dyDescent="0.35"/>
    <row r="695" ht="6" hidden="1" customHeight="1" x14ac:dyDescent="0.35"/>
    <row r="696" ht="6" hidden="1" customHeight="1" x14ac:dyDescent="0.35"/>
    <row r="697" ht="6" hidden="1" customHeight="1" x14ac:dyDescent="0.35"/>
    <row r="698" ht="6" hidden="1" customHeight="1" x14ac:dyDescent="0.35"/>
    <row r="699" ht="6" hidden="1" customHeight="1" x14ac:dyDescent="0.35"/>
    <row r="700" ht="6" hidden="1" customHeight="1" x14ac:dyDescent="0.35"/>
    <row r="701" ht="6" hidden="1" customHeight="1" x14ac:dyDescent="0.35"/>
    <row r="702" ht="6" hidden="1" customHeight="1" x14ac:dyDescent="0.35"/>
    <row r="703" ht="6" hidden="1" customHeight="1" x14ac:dyDescent="0.35"/>
    <row r="704" ht="6" hidden="1" customHeight="1" x14ac:dyDescent="0.35"/>
    <row r="705" ht="6" hidden="1" customHeight="1" x14ac:dyDescent="0.35"/>
    <row r="706" ht="6" hidden="1" customHeight="1" x14ac:dyDescent="0.35"/>
    <row r="707" ht="6" hidden="1" customHeight="1" x14ac:dyDescent="0.35"/>
    <row r="708" ht="6" hidden="1" customHeight="1" x14ac:dyDescent="0.35"/>
    <row r="709" ht="6" hidden="1" customHeight="1" x14ac:dyDescent="0.35"/>
    <row r="710" ht="6" hidden="1" customHeight="1" x14ac:dyDescent="0.35"/>
    <row r="711" ht="6" hidden="1" customHeight="1" x14ac:dyDescent="0.35"/>
    <row r="712" ht="6" hidden="1" customHeight="1" x14ac:dyDescent="0.35"/>
    <row r="713" ht="6" hidden="1" customHeight="1" x14ac:dyDescent="0.35"/>
    <row r="714" ht="6" hidden="1" customHeight="1" x14ac:dyDescent="0.35"/>
    <row r="715" ht="6" hidden="1" customHeight="1" x14ac:dyDescent="0.35"/>
    <row r="716" ht="6" hidden="1" customHeight="1" x14ac:dyDescent="0.35"/>
    <row r="717" ht="6" hidden="1" customHeight="1" x14ac:dyDescent="0.35"/>
    <row r="718" ht="6" hidden="1" customHeight="1" x14ac:dyDescent="0.35"/>
    <row r="719" ht="6" hidden="1" customHeight="1" x14ac:dyDescent="0.35"/>
    <row r="720" ht="6" hidden="1" customHeight="1" x14ac:dyDescent="0.35"/>
    <row r="721" ht="6" hidden="1" customHeight="1" x14ac:dyDescent="0.35"/>
    <row r="722" ht="6" hidden="1" customHeight="1" x14ac:dyDescent="0.35"/>
    <row r="723" ht="6" hidden="1" customHeight="1" x14ac:dyDescent="0.35"/>
    <row r="724" ht="6" hidden="1" customHeight="1" x14ac:dyDescent="0.35"/>
    <row r="725" ht="6" hidden="1" customHeight="1" x14ac:dyDescent="0.35"/>
    <row r="726" ht="6" hidden="1" customHeight="1" x14ac:dyDescent="0.35"/>
    <row r="727" ht="6" hidden="1" customHeight="1" x14ac:dyDescent="0.35"/>
    <row r="728" ht="6" hidden="1" customHeight="1" x14ac:dyDescent="0.35"/>
    <row r="729" ht="6" hidden="1" customHeight="1" x14ac:dyDescent="0.35"/>
    <row r="730" ht="6" hidden="1" customHeight="1" x14ac:dyDescent="0.35"/>
    <row r="731" ht="6" hidden="1" customHeight="1" x14ac:dyDescent="0.35"/>
    <row r="732" ht="6" hidden="1" customHeight="1" x14ac:dyDescent="0.35"/>
    <row r="733" ht="6" hidden="1" customHeight="1" x14ac:dyDescent="0.35"/>
    <row r="734" ht="6" hidden="1" customHeight="1" x14ac:dyDescent="0.35"/>
    <row r="735" ht="6" hidden="1" customHeight="1" x14ac:dyDescent="0.35"/>
    <row r="736" ht="6" hidden="1" customHeight="1" x14ac:dyDescent="0.35"/>
    <row r="737" ht="6" hidden="1" customHeight="1" x14ac:dyDescent="0.35"/>
    <row r="738" ht="6" hidden="1" customHeight="1" x14ac:dyDescent="0.35"/>
    <row r="739" ht="6" hidden="1" customHeight="1" x14ac:dyDescent="0.35"/>
    <row r="740" ht="6" hidden="1" customHeight="1" x14ac:dyDescent="0.35"/>
    <row r="741" ht="6" hidden="1" customHeight="1" x14ac:dyDescent="0.35"/>
    <row r="742" ht="6" hidden="1" customHeight="1" x14ac:dyDescent="0.35"/>
    <row r="743" ht="6" hidden="1" customHeight="1" x14ac:dyDescent="0.35"/>
    <row r="744" ht="6" hidden="1" customHeight="1" x14ac:dyDescent="0.35"/>
    <row r="745" ht="6" hidden="1" customHeight="1" x14ac:dyDescent="0.35"/>
    <row r="746" ht="6" hidden="1" customHeight="1" x14ac:dyDescent="0.35"/>
    <row r="747" ht="6" hidden="1" customHeight="1" x14ac:dyDescent="0.35"/>
    <row r="748" ht="6" hidden="1" customHeight="1" x14ac:dyDescent="0.35"/>
    <row r="749" ht="6" hidden="1" customHeight="1" x14ac:dyDescent="0.35"/>
    <row r="750" ht="6" hidden="1" customHeight="1" x14ac:dyDescent="0.35"/>
    <row r="751" ht="6" hidden="1" customHeight="1" x14ac:dyDescent="0.35"/>
    <row r="752" ht="6" hidden="1" customHeight="1" x14ac:dyDescent="0.35"/>
    <row r="753" ht="6" hidden="1" customHeight="1" x14ac:dyDescent="0.35"/>
    <row r="754" ht="6" hidden="1" customHeight="1" x14ac:dyDescent="0.35"/>
    <row r="755" ht="6" hidden="1" customHeight="1" x14ac:dyDescent="0.35"/>
    <row r="756" ht="6" hidden="1" customHeight="1" x14ac:dyDescent="0.35"/>
    <row r="757" ht="6" hidden="1" customHeight="1" x14ac:dyDescent="0.35"/>
    <row r="758" ht="6" hidden="1" customHeight="1" x14ac:dyDescent="0.35"/>
    <row r="759" ht="6" hidden="1" customHeight="1" x14ac:dyDescent="0.35"/>
    <row r="760" ht="6" hidden="1" customHeight="1" x14ac:dyDescent="0.35"/>
    <row r="761" ht="6" hidden="1" customHeight="1" x14ac:dyDescent="0.35"/>
    <row r="762" ht="6" hidden="1" customHeight="1" x14ac:dyDescent="0.35"/>
    <row r="763" ht="6" hidden="1" customHeight="1" x14ac:dyDescent="0.35"/>
    <row r="764" ht="6" hidden="1" customHeight="1" x14ac:dyDescent="0.35"/>
    <row r="765" ht="6" hidden="1" customHeight="1" x14ac:dyDescent="0.35"/>
    <row r="766" ht="6" hidden="1" customHeight="1" x14ac:dyDescent="0.35"/>
    <row r="767" ht="6" hidden="1" customHeight="1" x14ac:dyDescent="0.35"/>
    <row r="768" ht="6" hidden="1" customHeight="1" x14ac:dyDescent="0.35"/>
    <row r="769" ht="6" hidden="1" customHeight="1" x14ac:dyDescent="0.35"/>
    <row r="770" ht="6" hidden="1" customHeight="1" x14ac:dyDescent="0.35"/>
    <row r="771" ht="6" hidden="1" customHeight="1" x14ac:dyDescent="0.35"/>
    <row r="772" ht="6" hidden="1" customHeight="1" x14ac:dyDescent="0.35"/>
    <row r="773" ht="6" hidden="1" customHeight="1" x14ac:dyDescent="0.35"/>
    <row r="774" ht="6" hidden="1" customHeight="1" x14ac:dyDescent="0.35"/>
    <row r="775" ht="6" hidden="1" customHeight="1" x14ac:dyDescent="0.35"/>
    <row r="776" ht="6" hidden="1" customHeight="1" x14ac:dyDescent="0.35"/>
    <row r="777" ht="6" hidden="1" customHeight="1" x14ac:dyDescent="0.35"/>
    <row r="778" ht="6" hidden="1" customHeight="1" x14ac:dyDescent="0.35"/>
    <row r="779" ht="6" hidden="1" customHeight="1" x14ac:dyDescent="0.35"/>
    <row r="780" ht="6" hidden="1" customHeight="1" x14ac:dyDescent="0.35"/>
    <row r="781" ht="6" hidden="1" customHeight="1" x14ac:dyDescent="0.35"/>
    <row r="782" ht="6" hidden="1" customHeight="1" x14ac:dyDescent="0.35"/>
    <row r="783" ht="6" hidden="1" customHeight="1" x14ac:dyDescent="0.35"/>
    <row r="784" ht="6" hidden="1" customHeight="1" x14ac:dyDescent="0.35"/>
    <row r="785" ht="6" hidden="1" customHeight="1" x14ac:dyDescent="0.35"/>
    <row r="786" ht="6" hidden="1" customHeight="1" x14ac:dyDescent="0.35"/>
    <row r="787" ht="6" hidden="1" customHeight="1" x14ac:dyDescent="0.35"/>
    <row r="788" ht="6" hidden="1" customHeight="1" x14ac:dyDescent="0.35"/>
    <row r="789" ht="6" hidden="1" customHeight="1" x14ac:dyDescent="0.35"/>
    <row r="790" ht="6" hidden="1" customHeight="1" x14ac:dyDescent="0.35"/>
    <row r="791" ht="6" hidden="1" customHeight="1" x14ac:dyDescent="0.35"/>
    <row r="792" ht="6" hidden="1" customHeight="1" x14ac:dyDescent="0.35"/>
    <row r="793" ht="6" hidden="1" customHeight="1" x14ac:dyDescent="0.35"/>
    <row r="794" ht="6" hidden="1" customHeight="1" x14ac:dyDescent="0.35"/>
    <row r="795" ht="6" hidden="1" customHeight="1" x14ac:dyDescent="0.35"/>
    <row r="796" ht="6" hidden="1" customHeight="1" x14ac:dyDescent="0.35"/>
    <row r="797" ht="6" hidden="1" customHeight="1" x14ac:dyDescent="0.35"/>
    <row r="798" ht="6" hidden="1" customHeight="1" x14ac:dyDescent="0.35"/>
    <row r="799" ht="6" hidden="1" customHeight="1" x14ac:dyDescent="0.35"/>
    <row r="800" ht="6" hidden="1" customHeight="1" x14ac:dyDescent="0.35"/>
    <row r="801" ht="6" hidden="1" customHeight="1" x14ac:dyDescent="0.35"/>
    <row r="802" ht="6" hidden="1" customHeight="1" x14ac:dyDescent="0.35"/>
    <row r="803" ht="6" hidden="1" customHeight="1" x14ac:dyDescent="0.35"/>
    <row r="804" ht="6" hidden="1" customHeight="1" x14ac:dyDescent="0.35"/>
    <row r="805" ht="6" hidden="1" customHeight="1" x14ac:dyDescent="0.35"/>
    <row r="806" ht="6" hidden="1" customHeight="1" x14ac:dyDescent="0.35"/>
    <row r="807" ht="6" hidden="1" customHeight="1" x14ac:dyDescent="0.35"/>
    <row r="808" ht="6" hidden="1" customHeight="1" x14ac:dyDescent="0.35"/>
    <row r="809" ht="6" hidden="1" customHeight="1" x14ac:dyDescent="0.35"/>
    <row r="810" ht="6" hidden="1" customHeight="1" x14ac:dyDescent="0.35"/>
    <row r="811" ht="6" hidden="1" customHeight="1" x14ac:dyDescent="0.35"/>
    <row r="812" ht="6" hidden="1" customHeight="1" x14ac:dyDescent="0.35"/>
    <row r="813" ht="6" hidden="1" customHeight="1" x14ac:dyDescent="0.35"/>
    <row r="814" ht="6" hidden="1" customHeight="1" x14ac:dyDescent="0.35"/>
    <row r="815" ht="6" hidden="1" customHeight="1" x14ac:dyDescent="0.35"/>
    <row r="816" ht="6" hidden="1" customHeight="1" x14ac:dyDescent="0.35"/>
    <row r="817" ht="6" hidden="1" customHeight="1" x14ac:dyDescent="0.35"/>
    <row r="818" ht="6" hidden="1" customHeight="1" x14ac:dyDescent="0.35"/>
    <row r="819" ht="6" hidden="1" customHeight="1" x14ac:dyDescent="0.35"/>
    <row r="820" ht="6" hidden="1" customHeight="1" x14ac:dyDescent="0.35"/>
    <row r="821" ht="6" hidden="1" customHeight="1" x14ac:dyDescent="0.35"/>
    <row r="822" ht="6" hidden="1" customHeight="1" x14ac:dyDescent="0.35"/>
    <row r="823" ht="6" hidden="1" customHeight="1" x14ac:dyDescent="0.35"/>
    <row r="824" ht="6" hidden="1" customHeight="1" x14ac:dyDescent="0.35"/>
    <row r="825" ht="6" hidden="1" customHeight="1" x14ac:dyDescent="0.35"/>
    <row r="826" ht="6" hidden="1" customHeight="1" x14ac:dyDescent="0.35"/>
    <row r="827" ht="6" hidden="1" customHeight="1" x14ac:dyDescent="0.35"/>
    <row r="828" ht="6" hidden="1" customHeight="1" x14ac:dyDescent="0.35"/>
    <row r="829" ht="6" hidden="1" customHeight="1" x14ac:dyDescent="0.35"/>
    <row r="830" ht="6" hidden="1" customHeight="1" x14ac:dyDescent="0.35"/>
    <row r="831" ht="6" hidden="1" customHeight="1" x14ac:dyDescent="0.35"/>
    <row r="832" ht="6" hidden="1" customHeight="1" x14ac:dyDescent="0.35"/>
    <row r="833" ht="6" hidden="1" customHeight="1" x14ac:dyDescent="0.35"/>
    <row r="834" ht="6" hidden="1" customHeight="1" x14ac:dyDescent="0.35"/>
    <row r="835" ht="6" hidden="1" customHeight="1" x14ac:dyDescent="0.35"/>
    <row r="836" ht="6" hidden="1" customHeight="1" x14ac:dyDescent="0.35"/>
    <row r="837" ht="6" hidden="1" customHeight="1" x14ac:dyDescent="0.35"/>
    <row r="838" ht="6" hidden="1" customHeight="1" x14ac:dyDescent="0.35"/>
    <row r="839" ht="6" hidden="1" customHeight="1" x14ac:dyDescent="0.35"/>
    <row r="840" ht="6" hidden="1" customHeight="1" x14ac:dyDescent="0.35"/>
    <row r="841" ht="6" hidden="1" customHeight="1" x14ac:dyDescent="0.35"/>
    <row r="842" ht="6" hidden="1" customHeight="1" x14ac:dyDescent="0.35"/>
    <row r="843" ht="6" hidden="1" customHeight="1" x14ac:dyDescent="0.35"/>
    <row r="844" ht="6" hidden="1" customHeight="1" x14ac:dyDescent="0.35"/>
    <row r="845" ht="6" hidden="1" customHeight="1" x14ac:dyDescent="0.35"/>
    <row r="846" ht="6" hidden="1" customHeight="1" x14ac:dyDescent="0.35"/>
    <row r="847" ht="6" hidden="1" customHeight="1" x14ac:dyDescent="0.35"/>
    <row r="848" ht="6" hidden="1" customHeight="1" x14ac:dyDescent="0.35"/>
    <row r="849" ht="6" hidden="1" customHeight="1" x14ac:dyDescent="0.35"/>
    <row r="850" ht="6" hidden="1" customHeight="1" x14ac:dyDescent="0.35"/>
    <row r="851" ht="6" hidden="1" customHeight="1" x14ac:dyDescent="0.35"/>
    <row r="852" ht="6" hidden="1" customHeight="1" x14ac:dyDescent="0.35"/>
    <row r="853" ht="6" hidden="1" customHeight="1" x14ac:dyDescent="0.35"/>
    <row r="854" ht="6" hidden="1" customHeight="1" x14ac:dyDescent="0.35"/>
    <row r="855" ht="6" hidden="1" customHeight="1" x14ac:dyDescent="0.35"/>
    <row r="856" ht="6" hidden="1" customHeight="1" x14ac:dyDescent="0.35"/>
    <row r="857" ht="6" hidden="1" customHeight="1" x14ac:dyDescent="0.35"/>
    <row r="858" ht="6" hidden="1" customHeight="1" x14ac:dyDescent="0.35"/>
    <row r="859" ht="6" hidden="1" customHeight="1" x14ac:dyDescent="0.35"/>
    <row r="860" ht="6" hidden="1" customHeight="1" x14ac:dyDescent="0.35"/>
    <row r="861" ht="6" hidden="1" customHeight="1" x14ac:dyDescent="0.35"/>
    <row r="862" ht="6" hidden="1" customHeight="1" x14ac:dyDescent="0.35"/>
    <row r="863" ht="6" hidden="1" customHeight="1" x14ac:dyDescent="0.35"/>
    <row r="864" ht="6" hidden="1" customHeight="1" x14ac:dyDescent="0.35"/>
    <row r="865" ht="6" hidden="1" customHeight="1" x14ac:dyDescent="0.35"/>
    <row r="866" ht="6" hidden="1" customHeight="1" x14ac:dyDescent="0.35"/>
    <row r="867" ht="6" hidden="1" customHeight="1" x14ac:dyDescent="0.35"/>
    <row r="868" ht="6" hidden="1" customHeight="1" x14ac:dyDescent="0.35"/>
    <row r="869" ht="6" hidden="1" customHeight="1" x14ac:dyDescent="0.35"/>
    <row r="870" ht="6" hidden="1" customHeight="1" x14ac:dyDescent="0.35"/>
    <row r="871" ht="6" hidden="1" customHeight="1" x14ac:dyDescent="0.35"/>
    <row r="872" ht="6" hidden="1" customHeight="1" x14ac:dyDescent="0.35"/>
    <row r="873" ht="6" hidden="1" customHeight="1" x14ac:dyDescent="0.35"/>
    <row r="874" ht="6" hidden="1" customHeight="1" x14ac:dyDescent="0.35"/>
    <row r="875" ht="6" hidden="1" customHeight="1" x14ac:dyDescent="0.35"/>
    <row r="876" ht="6" hidden="1" customHeight="1" x14ac:dyDescent="0.35"/>
    <row r="877" ht="6" hidden="1" customHeight="1" x14ac:dyDescent="0.35"/>
    <row r="878" ht="6" hidden="1" customHeight="1" x14ac:dyDescent="0.35"/>
    <row r="879" ht="6" hidden="1" customHeight="1" x14ac:dyDescent="0.35"/>
    <row r="880" ht="6" hidden="1" customHeight="1" x14ac:dyDescent="0.35"/>
    <row r="881" ht="6" hidden="1" customHeight="1" x14ac:dyDescent="0.35"/>
    <row r="882" ht="6" hidden="1" customHeight="1" x14ac:dyDescent="0.35"/>
    <row r="883" ht="6" hidden="1" customHeight="1" x14ac:dyDescent="0.35"/>
    <row r="884" ht="6" hidden="1" customHeight="1" x14ac:dyDescent="0.35"/>
    <row r="885" ht="6" hidden="1" customHeight="1" x14ac:dyDescent="0.35"/>
    <row r="886" ht="6" hidden="1" customHeight="1" x14ac:dyDescent="0.35"/>
    <row r="887" ht="6" hidden="1" customHeight="1" x14ac:dyDescent="0.35"/>
    <row r="888" ht="6" hidden="1" customHeight="1" x14ac:dyDescent="0.35"/>
    <row r="889" ht="6" hidden="1" customHeight="1" x14ac:dyDescent="0.35"/>
    <row r="890" ht="6" hidden="1" customHeight="1" x14ac:dyDescent="0.35"/>
    <row r="891" ht="6" hidden="1" customHeight="1" x14ac:dyDescent="0.35"/>
    <row r="892" ht="6" hidden="1" customHeight="1" x14ac:dyDescent="0.35"/>
    <row r="893" ht="6" hidden="1" customHeight="1" x14ac:dyDescent="0.35"/>
    <row r="894" ht="6" hidden="1" customHeight="1" x14ac:dyDescent="0.35"/>
    <row r="895" ht="6" hidden="1" customHeight="1" x14ac:dyDescent="0.35"/>
    <row r="896" ht="6" hidden="1" customHeight="1" x14ac:dyDescent="0.35"/>
    <row r="897" ht="6" hidden="1" customHeight="1" x14ac:dyDescent="0.35"/>
    <row r="898" ht="6" hidden="1" customHeight="1" x14ac:dyDescent="0.35"/>
    <row r="899" ht="6" hidden="1" customHeight="1" x14ac:dyDescent="0.35"/>
    <row r="900" ht="6" hidden="1" customHeight="1" x14ac:dyDescent="0.35"/>
    <row r="901" ht="6" hidden="1" customHeight="1" x14ac:dyDescent="0.35"/>
    <row r="902" ht="6" hidden="1" customHeight="1" x14ac:dyDescent="0.35"/>
    <row r="903" ht="6" hidden="1" customHeight="1" x14ac:dyDescent="0.35"/>
    <row r="904" ht="6" hidden="1" customHeight="1" x14ac:dyDescent="0.35"/>
    <row r="905" ht="6" hidden="1" customHeight="1" x14ac:dyDescent="0.35"/>
    <row r="906" ht="6" hidden="1" customHeight="1" x14ac:dyDescent="0.35"/>
    <row r="907" ht="6" hidden="1" customHeight="1" x14ac:dyDescent="0.35"/>
    <row r="908" ht="6" hidden="1" customHeight="1" x14ac:dyDescent="0.35"/>
    <row r="909" ht="6" hidden="1" customHeight="1" x14ac:dyDescent="0.35"/>
    <row r="910" ht="6" hidden="1" customHeight="1" x14ac:dyDescent="0.35"/>
    <row r="911" ht="6" hidden="1" customHeight="1" x14ac:dyDescent="0.35"/>
    <row r="912" ht="6" hidden="1" customHeight="1" x14ac:dyDescent="0.35"/>
    <row r="913" ht="6" hidden="1" customHeight="1" x14ac:dyDescent="0.35"/>
    <row r="914" ht="6" hidden="1" customHeight="1" x14ac:dyDescent="0.35"/>
    <row r="915" ht="6" hidden="1" customHeight="1" x14ac:dyDescent="0.35"/>
    <row r="916" ht="6" hidden="1" customHeight="1" x14ac:dyDescent="0.35"/>
    <row r="917" ht="6" hidden="1" customHeight="1" x14ac:dyDescent="0.35"/>
    <row r="918" ht="6" hidden="1" customHeight="1" x14ac:dyDescent="0.35"/>
    <row r="919" ht="6" hidden="1" customHeight="1" x14ac:dyDescent="0.35"/>
    <row r="920" ht="6" hidden="1" customHeight="1" x14ac:dyDescent="0.35"/>
    <row r="921" ht="6" hidden="1" customHeight="1" x14ac:dyDescent="0.35"/>
    <row r="922" ht="6" hidden="1" customHeight="1" x14ac:dyDescent="0.35"/>
    <row r="923" ht="6" hidden="1" customHeight="1" x14ac:dyDescent="0.35"/>
    <row r="924" ht="6" hidden="1" customHeight="1" x14ac:dyDescent="0.35"/>
    <row r="925" ht="6" hidden="1" customHeight="1" x14ac:dyDescent="0.35"/>
    <row r="926" ht="6" hidden="1" customHeight="1" x14ac:dyDescent="0.35"/>
    <row r="927" ht="6" hidden="1" customHeight="1" x14ac:dyDescent="0.35"/>
    <row r="928" ht="6" hidden="1" customHeight="1" x14ac:dyDescent="0.35"/>
    <row r="929" ht="6" hidden="1" customHeight="1" x14ac:dyDescent="0.35"/>
    <row r="930" ht="6" hidden="1" customHeight="1" x14ac:dyDescent="0.35"/>
    <row r="931" ht="6" hidden="1" customHeight="1" x14ac:dyDescent="0.35"/>
    <row r="932" ht="6" hidden="1" customHeight="1" x14ac:dyDescent="0.35"/>
    <row r="933" ht="6" hidden="1" customHeight="1" x14ac:dyDescent="0.35"/>
    <row r="934" ht="6" hidden="1" customHeight="1" x14ac:dyDescent="0.35"/>
    <row r="935" ht="6" hidden="1" customHeight="1" x14ac:dyDescent="0.35"/>
    <row r="936" ht="6" hidden="1" customHeight="1" x14ac:dyDescent="0.35"/>
    <row r="937" ht="6" hidden="1" customHeight="1" x14ac:dyDescent="0.35"/>
    <row r="938" ht="6" hidden="1" customHeight="1" x14ac:dyDescent="0.35"/>
    <row r="939" ht="6" hidden="1" customHeight="1" x14ac:dyDescent="0.35"/>
    <row r="940" ht="6" hidden="1" customHeight="1" x14ac:dyDescent="0.35"/>
    <row r="941" ht="6" hidden="1" customHeight="1" x14ac:dyDescent="0.35"/>
    <row r="942" ht="6" hidden="1" customHeight="1" x14ac:dyDescent="0.35"/>
    <row r="943" ht="6" hidden="1" customHeight="1" x14ac:dyDescent="0.35"/>
    <row r="944" ht="6" hidden="1" customHeight="1" x14ac:dyDescent="0.35"/>
    <row r="945" ht="6" hidden="1" customHeight="1" x14ac:dyDescent="0.35"/>
    <row r="946" ht="6" hidden="1" customHeight="1" x14ac:dyDescent="0.35"/>
    <row r="947" ht="6" hidden="1" customHeight="1" x14ac:dyDescent="0.35"/>
    <row r="948" ht="6" hidden="1" customHeight="1" x14ac:dyDescent="0.35"/>
    <row r="949" ht="6" hidden="1" customHeight="1" x14ac:dyDescent="0.35"/>
    <row r="950" ht="6" hidden="1" customHeight="1" x14ac:dyDescent="0.35"/>
    <row r="951" ht="6" hidden="1" customHeight="1" x14ac:dyDescent="0.35"/>
    <row r="952" ht="6" hidden="1" customHeight="1" x14ac:dyDescent="0.35"/>
    <row r="953" ht="6" hidden="1" customHeight="1" x14ac:dyDescent="0.35"/>
    <row r="954" ht="6" hidden="1" customHeight="1" x14ac:dyDescent="0.35"/>
    <row r="955" ht="6" hidden="1" customHeight="1" x14ac:dyDescent="0.35"/>
    <row r="956" ht="6" hidden="1" customHeight="1" x14ac:dyDescent="0.35"/>
    <row r="957" ht="6" hidden="1" customHeight="1" x14ac:dyDescent="0.35"/>
    <row r="958" ht="6" hidden="1" customHeight="1" x14ac:dyDescent="0.35"/>
    <row r="959" ht="6" hidden="1" customHeight="1" x14ac:dyDescent="0.35"/>
    <row r="960" ht="6" hidden="1" customHeight="1" x14ac:dyDescent="0.35"/>
    <row r="961" ht="6" hidden="1" customHeight="1" x14ac:dyDescent="0.35"/>
    <row r="962" ht="6" hidden="1" customHeight="1" x14ac:dyDescent="0.35"/>
    <row r="963" ht="6" hidden="1" customHeight="1" x14ac:dyDescent="0.35"/>
    <row r="964" ht="6" hidden="1" customHeight="1" x14ac:dyDescent="0.35"/>
    <row r="965" ht="6" hidden="1" customHeight="1" x14ac:dyDescent="0.35"/>
    <row r="966" ht="6" hidden="1" customHeight="1" x14ac:dyDescent="0.35"/>
    <row r="967" ht="6" hidden="1" customHeight="1" x14ac:dyDescent="0.35"/>
    <row r="968" ht="6" hidden="1" customHeight="1" x14ac:dyDescent="0.35"/>
    <row r="969" ht="6" hidden="1" customHeight="1" x14ac:dyDescent="0.35"/>
    <row r="970" ht="6" hidden="1" customHeight="1" x14ac:dyDescent="0.35"/>
    <row r="971" ht="6" hidden="1" customHeight="1" x14ac:dyDescent="0.35"/>
    <row r="972" ht="6" hidden="1" customHeight="1" x14ac:dyDescent="0.35"/>
    <row r="973" ht="6" hidden="1" customHeight="1" x14ac:dyDescent="0.35"/>
    <row r="974" ht="6" hidden="1" customHeight="1" x14ac:dyDescent="0.35"/>
    <row r="975" ht="6" hidden="1" customHeight="1" x14ac:dyDescent="0.35"/>
    <row r="976" ht="6" hidden="1" customHeight="1" x14ac:dyDescent="0.35"/>
    <row r="977" ht="6" hidden="1" customHeight="1" x14ac:dyDescent="0.35"/>
    <row r="978" ht="6" hidden="1" customHeight="1" x14ac:dyDescent="0.35"/>
    <row r="979" ht="6" hidden="1" customHeight="1" x14ac:dyDescent="0.35"/>
    <row r="980" ht="6" hidden="1" customHeight="1" x14ac:dyDescent="0.35"/>
    <row r="981" ht="6" hidden="1" customHeight="1" x14ac:dyDescent="0.35"/>
    <row r="982" ht="6" hidden="1" customHeight="1" x14ac:dyDescent="0.35"/>
    <row r="983" ht="6" hidden="1" customHeight="1" x14ac:dyDescent="0.35"/>
    <row r="984" ht="6" hidden="1" customHeight="1" x14ac:dyDescent="0.35"/>
    <row r="985" ht="6" hidden="1" customHeight="1" x14ac:dyDescent="0.35"/>
    <row r="986" ht="6" hidden="1" customHeight="1" x14ac:dyDescent="0.35"/>
    <row r="987" ht="6" hidden="1" customHeight="1" x14ac:dyDescent="0.35"/>
    <row r="988" ht="6" hidden="1" customHeight="1" x14ac:dyDescent="0.35"/>
    <row r="989" ht="6" hidden="1" customHeight="1" x14ac:dyDescent="0.35"/>
    <row r="990" ht="6" hidden="1" customHeight="1" x14ac:dyDescent="0.35"/>
    <row r="991" ht="6" hidden="1" customHeight="1" x14ac:dyDescent="0.35"/>
    <row r="992" ht="6" hidden="1" customHeight="1" x14ac:dyDescent="0.35"/>
    <row r="993" ht="6" hidden="1" customHeight="1" x14ac:dyDescent="0.35"/>
    <row r="994" ht="6" hidden="1" customHeight="1" x14ac:dyDescent="0.35"/>
    <row r="995" ht="6" hidden="1" customHeight="1" x14ac:dyDescent="0.35"/>
    <row r="996" ht="6" hidden="1" customHeight="1" x14ac:dyDescent="0.35"/>
    <row r="997" ht="6" hidden="1" customHeight="1" x14ac:dyDescent="0.35"/>
    <row r="998" ht="6" hidden="1" customHeight="1" x14ac:dyDescent="0.35"/>
    <row r="999" ht="6" hidden="1" customHeight="1" x14ac:dyDescent="0.35"/>
    <row r="1000" ht="6" hidden="1" customHeight="1" x14ac:dyDescent="0.35"/>
    <row r="1001" ht="6" hidden="1" customHeight="1" x14ac:dyDescent="0.35"/>
    <row r="1002" ht="6" hidden="1" customHeight="1" x14ac:dyDescent="0.35"/>
    <row r="1003" ht="6" hidden="1" customHeight="1" x14ac:dyDescent="0.35"/>
    <row r="1004" ht="6" hidden="1" customHeight="1" x14ac:dyDescent="0.35"/>
    <row r="1005" ht="6" hidden="1" customHeight="1" x14ac:dyDescent="0.35"/>
    <row r="1006" ht="6" hidden="1" customHeight="1" x14ac:dyDescent="0.35"/>
    <row r="1007" ht="6" hidden="1" customHeight="1" x14ac:dyDescent="0.35"/>
    <row r="1008" ht="6" hidden="1" customHeight="1" x14ac:dyDescent="0.35"/>
    <row r="1009" ht="6" hidden="1" customHeight="1" x14ac:dyDescent="0.35"/>
    <row r="1010" ht="6" hidden="1" customHeight="1" x14ac:dyDescent="0.35"/>
    <row r="1011" ht="6" hidden="1" customHeight="1" x14ac:dyDescent="0.35"/>
    <row r="1012" ht="6" hidden="1" customHeight="1" x14ac:dyDescent="0.35"/>
    <row r="1013" ht="6" hidden="1" customHeight="1" x14ac:dyDescent="0.35"/>
    <row r="1014" ht="6" hidden="1" customHeight="1" x14ac:dyDescent="0.35"/>
    <row r="1015" ht="6" hidden="1" customHeight="1" x14ac:dyDescent="0.35"/>
    <row r="1016" ht="6" hidden="1" customHeight="1" x14ac:dyDescent="0.35"/>
    <row r="1017" ht="6" hidden="1" customHeight="1" x14ac:dyDescent="0.35"/>
    <row r="1018" ht="6" hidden="1" customHeight="1" x14ac:dyDescent="0.35"/>
    <row r="1019" ht="6" hidden="1" customHeight="1" x14ac:dyDescent="0.35"/>
    <row r="1020" ht="6" hidden="1" customHeight="1" x14ac:dyDescent="0.35"/>
    <row r="1021" ht="6" hidden="1" customHeight="1" x14ac:dyDescent="0.35"/>
    <row r="1022" ht="6" hidden="1" customHeight="1" x14ac:dyDescent="0.35"/>
    <row r="1023" ht="6" hidden="1" customHeight="1" x14ac:dyDescent="0.35"/>
    <row r="1024" ht="6" hidden="1" customHeight="1" x14ac:dyDescent="0.35"/>
    <row r="1025" ht="6" hidden="1" customHeight="1" x14ac:dyDescent="0.35"/>
    <row r="1026" ht="6" hidden="1" customHeight="1" x14ac:dyDescent="0.35"/>
    <row r="1027" ht="6" hidden="1" customHeight="1" x14ac:dyDescent="0.35"/>
    <row r="1028" ht="6" hidden="1" customHeight="1" x14ac:dyDescent="0.35"/>
    <row r="1029" ht="6" hidden="1" customHeight="1" x14ac:dyDescent="0.35"/>
    <row r="1030" ht="6" hidden="1" customHeight="1" x14ac:dyDescent="0.35"/>
    <row r="1031" ht="6" hidden="1" customHeight="1" x14ac:dyDescent="0.35"/>
    <row r="1032" ht="6" hidden="1" customHeight="1" x14ac:dyDescent="0.35"/>
    <row r="1033" ht="6" hidden="1" customHeight="1" x14ac:dyDescent="0.35"/>
    <row r="1034" ht="6" hidden="1" customHeight="1" x14ac:dyDescent="0.35"/>
    <row r="1035" ht="6" hidden="1" customHeight="1" x14ac:dyDescent="0.35"/>
    <row r="1036" ht="6" hidden="1" customHeight="1" x14ac:dyDescent="0.35"/>
    <row r="1037" ht="6" hidden="1" customHeight="1" x14ac:dyDescent="0.35"/>
    <row r="1038" ht="6" hidden="1" customHeight="1" x14ac:dyDescent="0.35"/>
    <row r="1039" ht="6" hidden="1" customHeight="1" x14ac:dyDescent="0.35"/>
    <row r="1040" ht="6" hidden="1" customHeight="1" x14ac:dyDescent="0.35"/>
    <row r="1041" ht="6" hidden="1" customHeight="1" x14ac:dyDescent="0.35"/>
    <row r="1042" ht="6" hidden="1" customHeight="1" x14ac:dyDescent="0.35"/>
    <row r="1043" ht="6" hidden="1" customHeight="1" x14ac:dyDescent="0.35"/>
    <row r="1044" ht="6" hidden="1" customHeight="1" x14ac:dyDescent="0.35"/>
    <row r="1045" ht="6" hidden="1" customHeight="1" x14ac:dyDescent="0.35"/>
    <row r="1046" ht="6" hidden="1" customHeight="1" x14ac:dyDescent="0.35"/>
    <row r="1047" ht="6" hidden="1" customHeight="1" x14ac:dyDescent="0.35"/>
    <row r="1048" ht="6" hidden="1" customHeight="1" x14ac:dyDescent="0.35"/>
    <row r="1049" ht="6" hidden="1" customHeight="1" x14ac:dyDescent="0.35"/>
    <row r="1050" ht="6" hidden="1" customHeight="1" x14ac:dyDescent="0.35"/>
    <row r="1051" ht="6" hidden="1" customHeight="1" x14ac:dyDescent="0.35"/>
    <row r="1052" ht="6" hidden="1" customHeight="1" x14ac:dyDescent="0.35"/>
    <row r="1053" ht="6" hidden="1" customHeight="1" x14ac:dyDescent="0.35"/>
    <row r="1054" ht="6" hidden="1" customHeight="1" x14ac:dyDescent="0.35"/>
    <row r="1055" ht="6" hidden="1" customHeight="1" x14ac:dyDescent="0.35"/>
    <row r="1056" ht="6" hidden="1" customHeight="1" x14ac:dyDescent="0.35"/>
    <row r="1057" ht="6" hidden="1" customHeight="1" x14ac:dyDescent="0.35"/>
    <row r="1058" ht="6" hidden="1" customHeight="1" x14ac:dyDescent="0.35"/>
    <row r="1059" ht="6" hidden="1" customHeight="1" x14ac:dyDescent="0.35"/>
    <row r="1060" ht="6" hidden="1" customHeight="1" x14ac:dyDescent="0.35"/>
    <row r="1061" ht="6" hidden="1" customHeight="1" x14ac:dyDescent="0.35"/>
    <row r="1062" ht="6" hidden="1" customHeight="1" x14ac:dyDescent="0.35"/>
    <row r="1063" ht="6" hidden="1" customHeight="1" x14ac:dyDescent="0.35"/>
    <row r="1064" ht="6" hidden="1" customHeight="1" x14ac:dyDescent="0.35"/>
    <row r="1065" ht="6" hidden="1" customHeight="1" x14ac:dyDescent="0.35"/>
    <row r="1066" ht="6" hidden="1" customHeight="1" x14ac:dyDescent="0.35"/>
    <row r="1067" ht="6" hidden="1" customHeight="1" x14ac:dyDescent="0.35"/>
    <row r="1068" ht="6" hidden="1" customHeight="1" x14ac:dyDescent="0.35"/>
    <row r="1069" ht="6" hidden="1" customHeight="1" x14ac:dyDescent="0.35"/>
    <row r="1070" ht="6" hidden="1" customHeight="1" x14ac:dyDescent="0.35"/>
    <row r="1071" ht="6" hidden="1" customHeight="1" x14ac:dyDescent="0.35"/>
    <row r="1072" ht="6" hidden="1" customHeight="1" x14ac:dyDescent="0.35"/>
    <row r="1073" ht="6" hidden="1" customHeight="1" x14ac:dyDescent="0.35"/>
    <row r="1074" ht="6" hidden="1" customHeight="1" x14ac:dyDescent="0.35"/>
    <row r="1075" ht="6" hidden="1" customHeight="1" x14ac:dyDescent="0.35"/>
    <row r="1076" ht="6" hidden="1" customHeight="1" x14ac:dyDescent="0.35"/>
    <row r="1077" ht="6" hidden="1" customHeight="1" x14ac:dyDescent="0.35"/>
    <row r="1078" ht="6" hidden="1" customHeight="1" x14ac:dyDescent="0.35"/>
    <row r="1079" ht="6" hidden="1" customHeight="1" x14ac:dyDescent="0.35"/>
    <row r="1080" ht="6" hidden="1" customHeight="1" x14ac:dyDescent="0.35"/>
    <row r="1081" ht="6" hidden="1" customHeight="1" x14ac:dyDescent="0.35"/>
    <row r="1082" ht="6" hidden="1" customHeight="1" x14ac:dyDescent="0.35"/>
    <row r="1083" ht="6" hidden="1" customHeight="1" x14ac:dyDescent="0.35"/>
    <row r="1084" ht="6" hidden="1" customHeight="1" x14ac:dyDescent="0.35"/>
    <row r="1085" ht="6" hidden="1" customHeight="1" x14ac:dyDescent="0.35"/>
    <row r="1086" ht="6" hidden="1" customHeight="1" x14ac:dyDescent="0.35"/>
    <row r="1087" ht="6" hidden="1" customHeight="1" x14ac:dyDescent="0.35"/>
    <row r="1088" ht="6" hidden="1" customHeight="1" x14ac:dyDescent="0.35"/>
    <row r="1089" ht="6" hidden="1" customHeight="1" x14ac:dyDescent="0.35"/>
    <row r="1090" ht="6" hidden="1" customHeight="1" x14ac:dyDescent="0.35"/>
    <row r="1091" ht="6" hidden="1" customHeight="1" x14ac:dyDescent="0.35"/>
    <row r="1092" ht="6" hidden="1" customHeight="1" x14ac:dyDescent="0.35"/>
    <row r="1093" ht="6" hidden="1" customHeight="1" x14ac:dyDescent="0.35"/>
    <row r="1094" ht="6" hidden="1" customHeight="1" x14ac:dyDescent="0.35"/>
    <row r="1095" ht="6" hidden="1" customHeight="1" x14ac:dyDescent="0.35"/>
    <row r="1096" ht="6" hidden="1" customHeight="1" x14ac:dyDescent="0.35"/>
    <row r="1097" ht="6" hidden="1" customHeight="1" x14ac:dyDescent="0.35"/>
    <row r="1098" ht="6" hidden="1" customHeight="1" x14ac:dyDescent="0.35"/>
    <row r="1099" ht="6" hidden="1" customHeight="1" x14ac:dyDescent="0.35"/>
    <row r="1100" ht="6" hidden="1" customHeight="1" x14ac:dyDescent="0.35"/>
    <row r="1101" ht="6" hidden="1" customHeight="1" x14ac:dyDescent="0.35"/>
    <row r="1102" ht="6" hidden="1" customHeight="1" x14ac:dyDescent="0.35"/>
    <row r="1103" ht="6" hidden="1" customHeight="1" x14ac:dyDescent="0.35"/>
    <row r="1104" ht="6" hidden="1" customHeight="1" x14ac:dyDescent="0.35"/>
    <row r="1105" ht="6" hidden="1" customHeight="1" x14ac:dyDescent="0.35"/>
    <row r="1106" ht="6" hidden="1" customHeight="1" x14ac:dyDescent="0.35"/>
    <row r="1107" ht="6" hidden="1" customHeight="1" x14ac:dyDescent="0.35"/>
    <row r="1108" ht="6" hidden="1" customHeight="1" x14ac:dyDescent="0.35"/>
    <row r="1109" ht="6" hidden="1" customHeight="1" x14ac:dyDescent="0.35"/>
    <row r="1110" ht="6" hidden="1" customHeight="1" x14ac:dyDescent="0.35"/>
    <row r="1111" ht="6" hidden="1" customHeight="1" x14ac:dyDescent="0.35"/>
    <row r="1112" ht="6" hidden="1" customHeight="1" x14ac:dyDescent="0.35"/>
    <row r="1113" ht="6" hidden="1" customHeight="1" x14ac:dyDescent="0.35"/>
    <row r="1114" ht="6" hidden="1" customHeight="1" x14ac:dyDescent="0.35"/>
    <row r="1115" ht="6" hidden="1" customHeight="1" x14ac:dyDescent="0.35"/>
    <row r="1116" ht="6" hidden="1" customHeight="1" x14ac:dyDescent="0.35"/>
    <row r="1117" ht="6" hidden="1" customHeight="1" x14ac:dyDescent="0.35"/>
    <row r="1118" ht="6" hidden="1" customHeight="1" x14ac:dyDescent="0.35"/>
    <row r="1119" ht="6" hidden="1" customHeight="1" x14ac:dyDescent="0.35"/>
    <row r="1120" ht="6" hidden="1" customHeight="1" x14ac:dyDescent="0.35"/>
    <row r="1121" ht="6" hidden="1" customHeight="1" x14ac:dyDescent="0.35"/>
    <row r="1122" ht="6" hidden="1" customHeight="1" x14ac:dyDescent="0.35"/>
    <row r="1123" ht="6" hidden="1" customHeight="1" x14ac:dyDescent="0.35"/>
    <row r="1124" ht="6" hidden="1" customHeight="1" x14ac:dyDescent="0.35"/>
    <row r="1125" ht="6" hidden="1" customHeight="1" x14ac:dyDescent="0.35"/>
    <row r="1126" ht="6" hidden="1" customHeight="1" x14ac:dyDescent="0.35"/>
    <row r="1127" ht="6" hidden="1" customHeight="1" x14ac:dyDescent="0.35"/>
    <row r="1128" ht="6" hidden="1" customHeight="1" x14ac:dyDescent="0.35"/>
    <row r="1129" ht="6" hidden="1" customHeight="1" x14ac:dyDescent="0.35"/>
    <row r="1130" ht="6" hidden="1" customHeight="1" x14ac:dyDescent="0.35"/>
    <row r="1131" ht="6" hidden="1" customHeight="1" x14ac:dyDescent="0.35"/>
    <row r="1132" ht="6" hidden="1" customHeight="1" x14ac:dyDescent="0.35"/>
    <row r="1133" ht="6" hidden="1" customHeight="1" x14ac:dyDescent="0.35"/>
    <row r="1134" ht="6" hidden="1" customHeight="1" x14ac:dyDescent="0.35"/>
    <row r="1135" ht="6" hidden="1" customHeight="1" x14ac:dyDescent="0.35"/>
    <row r="1136" ht="6" hidden="1" customHeight="1" x14ac:dyDescent="0.35"/>
    <row r="1137" ht="6" hidden="1" customHeight="1" x14ac:dyDescent="0.35"/>
    <row r="1138" ht="6" hidden="1" customHeight="1" x14ac:dyDescent="0.35"/>
    <row r="1139" ht="6" hidden="1" customHeight="1" x14ac:dyDescent="0.35"/>
    <row r="1140" ht="6" hidden="1" customHeight="1" x14ac:dyDescent="0.35"/>
    <row r="1141" ht="6" hidden="1" customHeight="1" x14ac:dyDescent="0.35"/>
    <row r="1142" ht="6" hidden="1" customHeight="1" x14ac:dyDescent="0.35"/>
    <row r="1143" ht="6" hidden="1" customHeight="1" x14ac:dyDescent="0.35"/>
    <row r="1144" ht="6" hidden="1" customHeight="1" x14ac:dyDescent="0.35"/>
    <row r="1145" ht="6" hidden="1" customHeight="1" x14ac:dyDescent="0.35"/>
    <row r="1146" ht="6" hidden="1" customHeight="1" x14ac:dyDescent="0.35"/>
    <row r="1147" ht="6" hidden="1" customHeight="1" x14ac:dyDescent="0.35"/>
    <row r="1148" ht="6" hidden="1" customHeight="1" x14ac:dyDescent="0.35"/>
    <row r="1149" ht="6" hidden="1" customHeight="1" x14ac:dyDescent="0.35"/>
    <row r="1150" ht="6" hidden="1" customHeight="1" x14ac:dyDescent="0.35"/>
    <row r="1151" ht="6" hidden="1" customHeight="1" x14ac:dyDescent="0.35"/>
    <row r="1152" ht="6" hidden="1" customHeight="1" x14ac:dyDescent="0.35"/>
    <row r="1153" ht="6" hidden="1" customHeight="1" x14ac:dyDescent="0.35"/>
    <row r="1154" ht="6" hidden="1" customHeight="1" x14ac:dyDescent="0.35"/>
    <row r="1155" ht="6" hidden="1" customHeight="1" x14ac:dyDescent="0.35"/>
    <row r="1156" ht="6" hidden="1" customHeight="1" x14ac:dyDescent="0.35"/>
    <row r="1157" ht="6" hidden="1" customHeight="1" x14ac:dyDescent="0.35"/>
    <row r="1158" ht="6" hidden="1" customHeight="1" x14ac:dyDescent="0.35"/>
    <row r="1159" ht="6" hidden="1" customHeight="1" x14ac:dyDescent="0.35"/>
    <row r="1160" ht="6" hidden="1" customHeight="1" x14ac:dyDescent="0.35"/>
    <row r="1161" ht="6" hidden="1" customHeight="1" x14ac:dyDescent="0.35"/>
    <row r="1162" ht="6" hidden="1" customHeight="1" x14ac:dyDescent="0.35"/>
    <row r="1163" ht="6" hidden="1" customHeight="1" x14ac:dyDescent="0.35"/>
    <row r="1164" ht="6" hidden="1" customHeight="1" x14ac:dyDescent="0.35"/>
    <row r="1165" ht="6" hidden="1" customHeight="1" x14ac:dyDescent="0.35"/>
    <row r="1166" ht="6" hidden="1" customHeight="1" x14ac:dyDescent="0.35"/>
    <row r="1167" ht="6" hidden="1" customHeight="1" x14ac:dyDescent="0.35"/>
    <row r="1168" ht="6" hidden="1" customHeight="1" x14ac:dyDescent="0.35"/>
    <row r="1169" ht="6" hidden="1" customHeight="1" x14ac:dyDescent="0.35"/>
    <row r="1170" ht="6" hidden="1" customHeight="1" x14ac:dyDescent="0.35"/>
    <row r="1171" ht="6" hidden="1" customHeight="1" x14ac:dyDescent="0.35"/>
    <row r="1172" ht="6" hidden="1" customHeight="1" x14ac:dyDescent="0.35"/>
    <row r="1173" ht="6" hidden="1" customHeight="1" x14ac:dyDescent="0.35"/>
    <row r="1174" ht="6" hidden="1" customHeight="1" x14ac:dyDescent="0.35"/>
    <row r="1175" ht="6" hidden="1" customHeight="1" x14ac:dyDescent="0.35"/>
    <row r="1176" ht="6" hidden="1" customHeight="1" x14ac:dyDescent="0.35"/>
    <row r="1177" ht="6" hidden="1" customHeight="1" x14ac:dyDescent="0.35"/>
    <row r="1178" ht="6" hidden="1" customHeight="1" x14ac:dyDescent="0.35"/>
    <row r="1179" ht="6" hidden="1" customHeight="1" x14ac:dyDescent="0.35"/>
    <row r="1180" ht="6" hidden="1" customHeight="1" x14ac:dyDescent="0.35"/>
    <row r="1181" ht="6" hidden="1" customHeight="1" x14ac:dyDescent="0.35"/>
    <row r="1182" ht="6" hidden="1" customHeight="1" x14ac:dyDescent="0.35"/>
    <row r="1183" ht="6" hidden="1" customHeight="1" x14ac:dyDescent="0.35"/>
    <row r="1184" ht="6" hidden="1" customHeight="1" x14ac:dyDescent="0.35"/>
    <row r="1185" ht="6" hidden="1" customHeight="1" x14ac:dyDescent="0.35"/>
    <row r="1186" ht="6" hidden="1" customHeight="1" x14ac:dyDescent="0.35"/>
    <row r="1187" ht="6" hidden="1" customHeight="1" x14ac:dyDescent="0.35"/>
    <row r="1188" ht="6" hidden="1" customHeight="1" x14ac:dyDescent="0.35"/>
    <row r="1189" ht="6" hidden="1" customHeight="1" x14ac:dyDescent="0.35"/>
    <row r="1190" ht="6" hidden="1" customHeight="1" x14ac:dyDescent="0.35"/>
    <row r="1191" ht="6" hidden="1" customHeight="1" x14ac:dyDescent="0.35"/>
    <row r="1192" ht="6" hidden="1" customHeight="1" x14ac:dyDescent="0.35"/>
    <row r="1193" ht="6" hidden="1" customHeight="1" x14ac:dyDescent="0.35"/>
    <row r="1194" ht="6" hidden="1" customHeight="1" x14ac:dyDescent="0.35"/>
    <row r="1195" ht="6" hidden="1" customHeight="1" x14ac:dyDescent="0.35"/>
    <row r="1196" ht="6" hidden="1" customHeight="1" x14ac:dyDescent="0.35"/>
    <row r="1197" ht="6" hidden="1" customHeight="1" x14ac:dyDescent="0.35"/>
    <row r="1198" ht="6" hidden="1" customHeight="1" x14ac:dyDescent="0.35"/>
    <row r="1199" ht="6" hidden="1" customHeight="1" x14ac:dyDescent="0.35"/>
    <row r="1200" ht="6" hidden="1" customHeight="1" x14ac:dyDescent="0.35"/>
    <row r="1201" ht="6" hidden="1" customHeight="1" x14ac:dyDescent="0.35"/>
    <row r="1202" ht="6" hidden="1" customHeight="1" x14ac:dyDescent="0.35"/>
    <row r="1203" ht="6" hidden="1" customHeight="1" x14ac:dyDescent="0.35"/>
    <row r="1204" ht="6" hidden="1" customHeight="1" x14ac:dyDescent="0.35"/>
    <row r="1205" ht="6" hidden="1" customHeight="1" x14ac:dyDescent="0.35"/>
    <row r="1206" ht="6" hidden="1" customHeight="1" x14ac:dyDescent="0.35"/>
    <row r="1207" ht="6" hidden="1" customHeight="1" x14ac:dyDescent="0.35"/>
    <row r="1208" ht="6" hidden="1" customHeight="1" x14ac:dyDescent="0.35"/>
    <row r="1209" ht="6" hidden="1" customHeight="1" x14ac:dyDescent="0.35"/>
    <row r="1210" ht="6" hidden="1" customHeight="1" x14ac:dyDescent="0.35"/>
    <row r="1211" ht="6" hidden="1" customHeight="1" x14ac:dyDescent="0.35"/>
    <row r="1212" ht="6" hidden="1" customHeight="1" x14ac:dyDescent="0.35"/>
    <row r="1213" ht="6" hidden="1" customHeight="1" x14ac:dyDescent="0.35"/>
    <row r="1214" ht="6" hidden="1" customHeight="1" x14ac:dyDescent="0.35"/>
    <row r="1215" ht="6" hidden="1" customHeight="1" x14ac:dyDescent="0.35"/>
    <row r="1216" ht="6" hidden="1" customHeight="1" x14ac:dyDescent="0.35"/>
    <row r="1217" ht="6" hidden="1" customHeight="1" x14ac:dyDescent="0.35"/>
    <row r="1218" ht="6" hidden="1" customHeight="1" x14ac:dyDescent="0.35"/>
    <row r="1219" ht="6" hidden="1" customHeight="1" x14ac:dyDescent="0.35"/>
    <row r="1220" ht="6" hidden="1" customHeight="1" x14ac:dyDescent="0.35"/>
    <row r="1221" ht="6" hidden="1" customHeight="1" x14ac:dyDescent="0.35"/>
    <row r="1222" ht="6" hidden="1" customHeight="1" x14ac:dyDescent="0.35"/>
    <row r="1223" ht="6" hidden="1" customHeight="1" x14ac:dyDescent="0.35"/>
    <row r="1224" ht="6" hidden="1" customHeight="1" x14ac:dyDescent="0.35"/>
    <row r="1225" ht="6" hidden="1" customHeight="1" x14ac:dyDescent="0.35"/>
    <row r="1226" ht="6" hidden="1" customHeight="1" x14ac:dyDescent="0.35"/>
    <row r="1227" ht="6" hidden="1" customHeight="1" x14ac:dyDescent="0.35"/>
    <row r="1228" ht="6" hidden="1" customHeight="1" x14ac:dyDescent="0.35"/>
    <row r="1229" ht="6" hidden="1" customHeight="1" x14ac:dyDescent="0.35"/>
    <row r="1230" ht="6" hidden="1" customHeight="1" x14ac:dyDescent="0.35"/>
    <row r="1231" ht="6" hidden="1" customHeight="1" x14ac:dyDescent="0.35"/>
    <row r="1232" ht="6" hidden="1" customHeight="1" x14ac:dyDescent="0.35"/>
    <row r="1233" ht="6" hidden="1" customHeight="1" x14ac:dyDescent="0.35"/>
    <row r="1234" ht="6" hidden="1" customHeight="1" x14ac:dyDescent="0.35"/>
    <row r="1235" ht="6" hidden="1" customHeight="1" x14ac:dyDescent="0.35"/>
    <row r="1236" ht="6" hidden="1" customHeight="1" x14ac:dyDescent="0.35"/>
    <row r="1237" ht="6" hidden="1" customHeight="1" x14ac:dyDescent="0.35"/>
    <row r="1238" ht="6" hidden="1" customHeight="1" x14ac:dyDescent="0.35"/>
    <row r="1239" ht="6" hidden="1" customHeight="1" x14ac:dyDescent="0.35"/>
    <row r="1240" ht="6" hidden="1" customHeight="1" x14ac:dyDescent="0.35"/>
    <row r="1241" ht="6" hidden="1" customHeight="1" x14ac:dyDescent="0.35"/>
    <row r="1242" ht="6" hidden="1" customHeight="1" x14ac:dyDescent="0.35"/>
    <row r="1243" ht="6" hidden="1" customHeight="1" x14ac:dyDescent="0.35"/>
    <row r="1244" ht="6" hidden="1" customHeight="1" x14ac:dyDescent="0.35"/>
    <row r="1245" ht="6" hidden="1" customHeight="1" x14ac:dyDescent="0.35"/>
    <row r="1246" ht="6" hidden="1" customHeight="1" x14ac:dyDescent="0.35"/>
    <row r="1247" ht="6" hidden="1" customHeight="1" x14ac:dyDescent="0.35"/>
    <row r="1248" ht="6" hidden="1" customHeight="1" x14ac:dyDescent="0.35"/>
    <row r="1249" ht="6" hidden="1" customHeight="1" x14ac:dyDescent="0.35"/>
    <row r="1250" ht="6" hidden="1" customHeight="1" x14ac:dyDescent="0.35"/>
    <row r="1251" ht="6" hidden="1" customHeight="1" x14ac:dyDescent="0.35"/>
    <row r="1252" ht="6" hidden="1" customHeight="1" x14ac:dyDescent="0.35"/>
    <row r="1253" ht="6" hidden="1" customHeight="1" x14ac:dyDescent="0.35"/>
    <row r="1254" ht="6" hidden="1" customHeight="1" x14ac:dyDescent="0.35"/>
    <row r="1255" ht="6" hidden="1" customHeight="1" x14ac:dyDescent="0.35"/>
    <row r="1256" ht="6" hidden="1" customHeight="1" x14ac:dyDescent="0.35"/>
    <row r="1257" ht="6" hidden="1" customHeight="1" x14ac:dyDescent="0.35"/>
    <row r="1258" ht="6" hidden="1" customHeight="1" x14ac:dyDescent="0.35"/>
    <row r="1259" ht="6" hidden="1" customHeight="1" x14ac:dyDescent="0.35"/>
    <row r="1260" ht="6" hidden="1" customHeight="1" x14ac:dyDescent="0.35"/>
    <row r="1261" ht="6" hidden="1" customHeight="1" x14ac:dyDescent="0.35"/>
    <row r="1262" ht="6" hidden="1" customHeight="1" x14ac:dyDescent="0.35"/>
    <row r="1263" ht="6" hidden="1" customHeight="1" x14ac:dyDescent="0.35"/>
    <row r="1264" ht="6" hidden="1" customHeight="1" x14ac:dyDescent="0.35"/>
    <row r="1265" ht="6" hidden="1" customHeight="1" x14ac:dyDescent="0.35"/>
    <row r="1266" ht="6" hidden="1" customHeight="1" x14ac:dyDescent="0.35"/>
    <row r="1267" ht="6" hidden="1" customHeight="1" x14ac:dyDescent="0.35"/>
    <row r="1268" ht="6" hidden="1" customHeight="1" x14ac:dyDescent="0.35"/>
    <row r="1269" ht="6" hidden="1" customHeight="1" x14ac:dyDescent="0.35"/>
    <row r="1270" ht="6" hidden="1" customHeight="1" x14ac:dyDescent="0.35"/>
    <row r="1271" ht="6" hidden="1" customHeight="1" x14ac:dyDescent="0.35"/>
    <row r="1272" ht="6" hidden="1" customHeight="1" x14ac:dyDescent="0.35"/>
    <row r="1273" ht="6" hidden="1" customHeight="1" x14ac:dyDescent="0.35"/>
    <row r="1274" ht="6" hidden="1" customHeight="1" x14ac:dyDescent="0.35"/>
    <row r="1275" ht="6" hidden="1" customHeight="1" x14ac:dyDescent="0.35"/>
    <row r="1276" ht="6" hidden="1" customHeight="1" x14ac:dyDescent="0.35"/>
    <row r="1277" ht="6" hidden="1" customHeight="1" x14ac:dyDescent="0.35"/>
    <row r="1278" ht="6" hidden="1" customHeight="1" x14ac:dyDescent="0.35"/>
    <row r="1279" ht="6" hidden="1" customHeight="1" x14ac:dyDescent="0.35"/>
    <row r="1280" ht="6" hidden="1" customHeight="1" x14ac:dyDescent="0.35"/>
    <row r="1281" ht="6" hidden="1" customHeight="1" x14ac:dyDescent="0.35"/>
    <row r="1282" ht="6" hidden="1" customHeight="1" x14ac:dyDescent="0.35"/>
    <row r="1283" ht="6" hidden="1" customHeight="1" x14ac:dyDescent="0.35"/>
    <row r="1284" ht="6" hidden="1" customHeight="1" x14ac:dyDescent="0.35"/>
    <row r="1285" ht="6" hidden="1" customHeight="1" x14ac:dyDescent="0.35"/>
    <row r="1286" ht="6" hidden="1" customHeight="1" x14ac:dyDescent="0.35"/>
    <row r="1287" ht="6" hidden="1" customHeight="1" x14ac:dyDescent="0.35"/>
    <row r="1288" ht="6" hidden="1" customHeight="1" x14ac:dyDescent="0.35"/>
    <row r="1289" ht="6" hidden="1" customHeight="1" x14ac:dyDescent="0.35"/>
    <row r="1290" ht="6" hidden="1" customHeight="1" x14ac:dyDescent="0.35"/>
    <row r="1291" ht="6" hidden="1" customHeight="1" x14ac:dyDescent="0.35"/>
    <row r="1292" ht="6" hidden="1" customHeight="1" x14ac:dyDescent="0.35"/>
    <row r="1293" ht="6" hidden="1" customHeight="1" x14ac:dyDescent="0.35"/>
    <row r="1294" ht="6" hidden="1" customHeight="1" x14ac:dyDescent="0.35"/>
    <row r="1295" ht="6" hidden="1" customHeight="1" x14ac:dyDescent="0.35"/>
    <row r="1296" ht="6" hidden="1" customHeight="1" x14ac:dyDescent="0.35"/>
    <row r="1297" ht="6" hidden="1" customHeight="1" x14ac:dyDescent="0.35"/>
    <row r="1298" ht="6" hidden="1" customHeight="1" x14ac:dyDescent="0.35"/>
    <row r="1299" ht="6" hidden="1" customHeight="1" x14ac:dyDescent="0.35"/>
    <row r="1300" ht="6" hidden="1" customHeight="1" x14ac:dyDescent="0.35"/>
    <row r="1301" ht="6" hidden="1" customHeight="1" x14ac:dyDescent="0.35"/>
    <row r="1302" ht="6" hidden="1" customHeight="1" x14ac:dyDescent="0.35"/>
    <row r="1303" ht="6" hidden="1" customHeight="1" x14ac:dyDescent="0.35"/>
    <row r="1304" ht="6" hidden="1" customHeight="1" x14ac:dyDescent="0.35"/>
    <row r="1305" ht="6" hidden="1" customHeight="1" x14ac:dyDescent="0.35"/>
    <row r="1306" ht="6" hidden="1" customHeight="1" x14ac:dyDescent="0.35"/>
    <row r="1307" ht="6" hidden="1" customHeight="1" x14ac:dyDescent="0.35"/>
    <row r="1308" ht="6" hidden="1" customHeight="1" x14ac:dyDescent="0.35"/>
    <row r="1309" ht="6" hidden="1" customHeight="1" x14ac:dyDescent="0.35"/>
    <row r="1310" ht="6" hidden="1" customHeight="1" x14ac:dyDescent="0.35"/>
    <row r="1311" ht="6" hidden="1" customHeight="1" x14ac:dyDescent="0.35"/>
    <row r="1312" ht="6" hidden="1" customHeight="1" x14ac:dyDescent="0.35"/>
    <row r="1313" ht="6" hidden="1" customHeight="1" x14ac:dyDescent="0.35"/>
    <row r="1314" ht="6" hidden="1" customHeight="1" x14ac:dyDescent="0.35"/>
    <row r="1315" ht="6" hidden="1" customHeight="1" x14ac:dyDescent="0.35"/>
    <row r="1316" ht="6" hidden="1" customHeight="1" x14ac:dyDescent="0.35"/>
    <row r="1317" ht="6" hidden="1" customHeight="1" x14ac:dyDescent="0.35"/>
    <row r="1318" ht="6" hidden="1" customHeight="1" x14ac:dyDescent="0.35"/>
    <row r="1319" ht="6" hidden="1" customHeight="1" x14ac:dyDescent="0.35"/>
    <row r="1320" ht="6" hidden="1" customHeight="1" x14ac:dyDescent="0.35"/>
    <row r="1321" ht="6" hidden="1" customHeight="1" x14ac:dyDescent="0.35"/>
    <row r="1322" ht="6" hidden="1" customHeight="1" x14ac:dyDescent="0.35"/>
    <row r="1323" ht="6" hidden="1" customHeight="1" x14ac:dyDescent="0.35"/>
    <row r="1324" ht="6" hidden="1" customHeight="1" x14ac:dyDescent="0.35"/>
    <row r="1325" ht="6" hidden="1" customHeight="1" x14ac:dyDescent="0.35"/>
    <row r="1326" ht="6" hidden="1" customHeight="1" x14ac:dyDescent="0.35"/>
    <row r="1327" ht="6" hidden="1" customHeight="1" x14ac:dyDescent="0.35"/>
    <row r="1328" ht="6" hidden="1" customHeight="1" x14ac:dyDescent="0.35"/>
    <row r="1329" ht="6" hidden="1" customHeight="1" x14ac:dyDescent="0.35"/>
    <row r="1330" ht="6" hidden="1" customHeight="1" x14ac:dyDescent="0.35"/>
    <row r="1331" ht="6" hidden="1" customHeight="1" x14ac:dyDescent="0.35"/>
    <row r="1332" ht="6" hidden="1" customHeight="1" x14ac:dyDescent="0.35"/>
    <row r="1333" ht="6" hidden="1" customHeight="1" x14ac:dyDescent="0.35"/>
    <row r="1334" ht="6" hidden="1" customHeight="1" x14ac:dyDescent="0.35"/>
    <row r="1335" ht="6" hidden="1" customHeight="1" x14ac:dyDescent="0.35"/>
    <row r="1336" ht="6" hidden="1" customHeight="1" x14ac:dyDescent="0.35"/>
    <row r="1337" ht="6" hidden="1" customHeight="1" x14ac:dyDescent="0.35"/>
    <row r="1338" ht="6" hidden="1" customHeight="1" x14ac:dyDescent="0.35"/>
    <row r="1339" ht="6" hidden="1" customHeight="1" x14ac:dyDescent="0.35"/>
    <row r="1340" ht="6" hidden="1" customHeight="1" x14ac:dyDescent="0.35"/>
    <row r="1341" ht="6" hidden="1" customHeight="1" x14ac:dyDescent="0.35"/>
    <row r="1342" ht="6" hidden="1" customHeight="1" x14ac:dyDescent="0.35"/>
    <row r="1343" ht="6" hidden="1" customHeight="1" x14ac:dyDescent="0.35"/>
    <row r="1344" ht="6" hidden="1" customHeight="1" x14ac:dyDescent="0.35"/>
    <row r="1345" ht="6" hidden="1" customHeight="1" x14ac:dyDescent="0.35"/>
    <row r="1346" ht="6" hidden="1" customHeight="1" x14ac:dyDescent="0.35"/>
    <row r="1347" ht="6" hidden="1" customHeight="1" x14ac:dyDescent="0.35"/>
    <row r="1348" ht="6" hidden="1" customHeight="1" x14ac:dyDescent="0.35"/>
    <row r="1349" ht="6" hidden="1" customHeight="1" x14ac:dyDescent="0.35"/>
    <row r="1350" ht="6" hidden="1" customHeight="1" x14ac:dyDescent="0.35"/>
    <row r="1351" ht="6" hidden="1" customHeight="1" x14ac:dyDescent="0.35"/>
    <row r="1352" ht="6" hidden="1" customHeight="1" x14ac:dyDescent="0.35"/>
    <row r="1353" ht="6" hidden="1" customHeight="1" x14ac:dyDescent="0.35"/>
    <row r="1354" ht="6" hidden="1" customHeight="1" x14ac:dyDescent="0.35"/>
    <row r="1355" ht="6" hidden="1" customHeight="1" x14ac:dyDescent="0.35"/>
    <row r="1356" ht="6" hidden="1" customHeight="1" x14ac:dyDescent="0.35"/>
    <row r="1357" ht="6" hidden="1" customHeight="1" x14ac:dyDescent="0.35"/>
    <row r="1358" ht="6" hidden="1" customHeight="1" x14ac:dyDescent="0.35"/>
    <row r="1359" ht="6" hidden="1" customHeight="1" x14ac:dyDescent="0.35"/>
    <row r="1360" ht="6" hidden="1" customHeight="1" x14ac:dyDescent="0.35"/>
    <row r="1361" ht="6" hidden="1" customHeight="1" x14ac:dyDescent="0.35"/>
    <row r="1362" ht="6" hidden="1" customHeight="1" x14ac:dyDescent="0.35"/>
    <row r="1363" ht="6" hidden="1" customHeight="1" x14ac:dyDescent="0.35"/>
    <row r="1364" ht="6" hidden="1" customHeight="1" x14ac:dyDescent="0.35"/>
    <row r="1365" ht="6" hidden="1" customHeight="1" x14ac:dyDescent="0.35"/>
    <row r="1366" ht="6" hidden="1" customHeight="1" x14ac:dyDescent="0.35"/>
    <row r="1367" ht="6" hidden="1" customHeight="1" x14ac:dyDescent="0.35"/>
    <row r="1368" ht="6" hidden="1" customHeight="1" x14ac:dyDescent="0.35"/>
    <row r="1369" ht="6" hidden="1" customHeight="1" x14ac:dyDescent="0.35"/>
    <row r="1370" ht="6" hidden="1" customHeight="1" x14ac:dyDescent="0.35"/>
    <row r="1371" ht="6" hidden="1" customHeight="1" x14ac:dyDescent="0.35"/>
    <row r="1372" ht="6" hidden="1" customHeight="1" x14ac:dyDescent="0.35"/>
    <row r="1373" ht="6" hidden="1" customHeight="1" x14ac:dyDescent="0.35"/>
    <row r="1374" ht="6" hidden="1" customHeight="1" x14ac:dyDescent="0.35"/>
    <row r="1375" ht="6" hidden="1" customHeight="1" x14ac:dyDescent="0.35"/>
    <row r="1376" ht="6" hidden="1" customHeight="1" x14ac:dyDescent="0.35"/>
    <row r="1377" ht="6" hidden="1" customHeight="1" x14ac:dyDescent="0.35"/>
    <row r="1378" ht="6" hidden="1" customHeight="1" x14ac:dyDescent="0.35"/>
    <row r="1379" ht="6" hidden="1" customHeight="1" x14ac:dyDescent="0.35"/>
    <row r="1380" ht="6" hidden="1" customHeight="1" x14ac:dyDescent="0.35"/>
    <row r="1381" ht="6" hidden="1" customHeight="1" x14ac:dyDescent="0.35"/>
    <row r="1382" ht="6" hidden="1" customHeight="1" x14ac:dyDescent="0.35"/>
    <row r="1383" ht="6" hidden="1" customHeight="1" x14ac:dyDescent="0.35"/>
    <row r="1384" ht="6" hidden="1" customHeight="1" x14ac:dyDescent="0.35"/>
    <row r="1385" ht="6" hidden="1" customHeight="1" x14ac:dyDescent="0.35"/>
    <row r="1386" ht="6" hidden="1" customHeight="1" x14ac:dyDescent="0.35"/>
    <row r="1387" ht="6" hidden="1" customHeight="1" x14ac:dyDescent="0.35"/>
    <row r="1388" ht="6" hidden="1" customHeight="1" x14ac:dyDescent="0.35"/>
    <row r="1389" ht="6" hidden="1" customHeight="1" x14ac:dyDescent="0.35"/>
    <row r="1390" ht="6" hidden="1" customHeight="1" x14ac:dyDescent="0.35"/>
    <row r="1391" ht="6" hidden="1" customHeight="1" x14ac:dyDescent="0.35"/>
    <row r="1392" ht="6" hidden="1" customHeight="1" x14ac:dyDescent="0.35"/>
    <row r="1393" ht="6" hidden="1" customHeight="1" x14ac:dyDescent="0.35"/>
    <row r="1394" ht="6" hidden="1" customHeight="1" x14ac:dyDescent="0.35"/>
    <row r="1395" ht="6" hidden="1" customHeight="1" x14ac:dyDescent="0.35"/>
    <row r="1396" ht="6" hidden="1" customHeight="1" x14ac:dyDescent="0.35"/>
    <row r="1397" ht="6" hidden="1" customHeight="1" x14ac:dyDescent="0.35"/>
    <row r="1398" ht="6" hidden="1" customHeight="1" x14ac:dyDescent="0.35"/>
    <row r="1399" ht="6" hidden="1" customHeight="1" x14ac:dyDescent="0.35"/>
    <row r="1400" ht="6" hidden="1" customHeight="1" x14ac:dyDescent="0.35"/>
    <row r="1401" ht="6" hidden="1" customHeight="1" x14ac:dyDescent="0.35"/>
    <row r="1402" ht="6" hidden="1" customHeight="1" x14ac:dyDescent="0.35"/>
    <row r="1403" ht="6" hidden="1" customHeight="1" x14ac:dyDescent="0.35"/>
    <row r="1404" ht="6" hidden="1" customHeight="1" x14ac:dyDescent="0.35"/>
    <row r="1405" ht="6" hidden="1" customHeight="1" x14ac:dyDescent="0.35"/>
    <row r="1406" ht="6" hidden="1" customHeight="1" x14ac:dyDescent="0.35"/>
    <row r="1407" ht="6" hidden="1" customHeight="1" x14ac:dyDescent="0.35"/>
    <row r="1408" ht="6" hidden="1" customHeight="1" x14ac:dyDescent="0.35"/>
    <row r="1409" ht="6" hidden="1" customHeight="1" x14ac:dyDescent="0.35"/>
    <row r="1410" ht="6" hidden="1" customHeight="1" x14ac:dyDescent="0.35"/>
    <row r="1411" ht="6" hidden="1" customHeight="1" x14ac:dyDescent="0.35"/>
    <row r="1412" ht="6" hidden="1" customHeight="1" x14ac:dyDescent="0.35"/>
    <row r="1413" ht="6" hidden="1" customHeight="1" x14ac:dyDescent="0.35"/>
    <row r="1414" ht="6" hidden="1" customHeight="1" x14ac:dyDescent="0.35"/>
    <row r="1415" ht="6" hidden="1" customHeight="1" x14ac:dyDescent="0.35"/>
    <row r="1416" ht="6" hidden="1" customHeight="1" x14ac:dyDescent="0.35"/>
    <row r="1417" ht="6" hidden="1" customHeight="1" x14ac:dyDescent="0.35"/>
    <row r="1418" ht="6" hidden="1" customHeight="1" x14ac:dyDescent="0.35"/>
    <row r="1419" ht="6" hidden="1" customHeight="1" x14ac:dyDescent="0.35"/>
    <row r="1420" ht="6" hidden="1" customHeight="1" x14ac:dyDescent="0.35"/>
    <row r="1421" ht="6" hidden="1" customHeight="1" x14ac:dyDescent="0.35"/>
    <row r="1422" ht="6" hidden="1" customHeight="1" x14ac:dyDescent="0.35"/>
    <row r="1423" ht="6" hidden="1" customHeight="1" x14ac:dyDescent="0.35"/>
    <row r="1424" ht="6" hidden="1" customHeight="1" x14ac:dyDescent="0.35"/>
    <row r="1425" ht="6" hidden="1" customHeight="1" x14ac:dyDescent="0.35"/>
    <row r="1426" ht="6" hidden="1" customHeight="1" x14ac:dyDescent="0.35"/>
    <row r="1427" ht="6" hidden="1" customHeight="1" x14ac:dyDescent="0.35"/>
    <row r="1428" ht="6" hidden="1" customHeight="1" x14ac:dyDescent="0.35"/>
    <row r="1429" ht="6" hidden="1" customHeight="1" x14ac:dyDescent="0.35"/>
    <row r="1430" ht="6" hidden="1" customHeight="1" x14ac:dyDescent="0.35"/>
    <row r="1431" ht="6" hidden="1" customHeight="1" x14ac:dyDescent="0.35"/>
    <row r="1432" ht="6" hidden="1" customHeight="1" x14ac:dyDescent="0.35"/>
    <row r="1433" ht="6" hidden="1" customHeight="1" x14ac:dyDescent="0.35"/>
    <row r="1434" ht="6" hidden="1" customHeight="1" x14ac:dyDescent="0.35"/>
    <row r="1435" ht="6" hidden="1" customHeight="1" x14ac:dyDescent="0.35"/>
    <row r="1436" ht="6" hidden="1" customHeight="1" x14ac:dyDescent="0.35"/>
    <row r="1437" ht="6" hidden="1" customHeight="1" x14ac:dyDescent="0.35"/>
    <row r="1438" ht="6" hidden="1" customHeight="1" x14ac:dyDescent="0.35"/>
    <row r="1439" ht="6" hidden="1" customHeight="1" x14ac:dyDescent="0.35"/>
    <row r="1440" ht="6" hidden="1" customHeight="1" x14ac:dyDescent="0.35"/>
    <row r="1441" ht="6" hidden="1" customHeight="1" x14ac:dyDescent="0.35"/>
    <row r="1442" ht="6" hidden="1" customHeight="1" x14ac:dyDescent="0.35"/>
    <row r="1443" ht="6" hidden="1" customHeight="1" x14ac:dyDescent="0.35"/>
    <row r="1444" ht="6" hidden="1" customHeight="1" x14ac:dyDescent="0.35"/>
    <row r="1445" ht="6" hidden="1" customHeight="1" x14ac:dyDescent="0.35"/>
    <row r="1446" ht="6" hidden="1" customHeight="1" x14ac:dyDescent="0.35"/>
    <row r="1447" ht="6" hidden="1" customHeight="1" x14ac:dyDescent="0.35"/>
    <row r="1448" ht="6" hidden="1" customHeight="1" x14ac:dyDescent="0.35"/>
    <row r="1449" ht="6" hidden="1" customHeight="1" x14ac:dyDescent="0.35"/>
    <row r="1450" ht="6" hidden="1" customHeight="1" x14ac:dyDescent="0.35"/>
    <row r="1451" ht="6" hidden="1" customHeight="1" x14ac:dyDescent="0.35"/>
    <row r="1452" ht="6" hidden="1" customHeight="1" x14ac:dyDescent="0.35"/>
    <row r="1453" ht="6" hidden="1" customHeight="1" x14ac:dyDescent="0.35"/>
    <row r="1454" ht="6" hidden="1" customHeight="1" x14ac:dyDescent="0.35"/>
    <row r="1455" ht="6" hidden="1" customHeight="1" x14ac:dyDescent="0.35"/>
    <row r="1456" ht="6" hidden="1" customHeight="1" x14ac:dyDescent="0.35"/>
    <row r="1457" ht="6" hidden="1" customHeight="1" x14ac:dyDescent="0.35"/>
    <row r="1458" ht="6" hidden="1" customHeight="1" x14ac:dyDescent="0.35"/>
    <row r="1459" ht="6" hidden="1" customHeight="1" x14ac:dyDescent="0.35"/>
    <row r="1460" ht="6" hidden="1" customHeight="1" x14ac:dyDescent="0.35"/>
    <row r="1461" ht="6" hidden="1" customHeight="1" x14ac:dyDescent="0.35"/>
    <row r="1462" ht="6" hidden="1" customHeight="1" x14ac:dyDescent="0.35"/>
    <row r="1463" ht="6" hidden="1" customHeight="1" x14ac:dyDescent="0.35"/>
    <row r="1464" ht="6" hidden="1" customHeight="1" x14ac:dyDescent="0.35"/>
    <row r="1465" ht="6" hidden="1" customHeight="1" x14ac:dyDescent="0.35"/>
    <row r="1466" ht="6" hidden="1" customHeight="1" x14ac:dyDescent="0.35"/>
    <row r="1467" ht="6" hidden="1" customHeight="1" x14ac:dyDescent="0.35"/>
    <row r="1468" ht="6" hidden="1" customHeight="1" x14ac:dyDescent="0.35"/>
    <row r="1469" ht="6" hidden="1" customHeight="1" x14ac:dyDescent="0.35"/>
    <row r="1470" ht="6" hidden="1" customHeight="1" x14ac:dyDescent="0.35"/>
    <row r="1471" ht="6" hidden="1" customHeight="1" x14ac:dyDescent="0.35"/>
    <row r="1472" ht="6" hidden="1" customHeight="1" x14ac:dyDescent="0.35"/>
    <row r="1473" ht="6" hidden="1" customHeight="1" x14ac:dyDescent="0.35"/>
    <row r="1474" ht="6" hidden="1" customHeight="1" x14ac:dyDescent="0.35"/>
    <row r="1475" ht="6" hidden="1" customHeight="1" x14ac:dyDescent="0.35"/>
    <row r="1476" ht="6" hidden="1" customHeight="1" x14ac:dyDescent="0.35"/>
    <row r="1477" ht="6" hidden="1" customHeight="1" x14ac:dyDescent="0.35"/>
    <row r="1478" ht="6" hidden="1" customHeight="1" x14ac:dyDescent="0.35"/>
    <row r="1479" ht="6" hidden="1" customHeight="1" x14ac:dyDescent="0.35"/>
    <row r="1480" ht="6" hidden="1" customHeight="1" x14ac:dyDescent="0.35"/>
    <row r="1481" ht="6" hidden="1" customHeight="1" x14ac:dyDescent="0.35"/>
    <row r="1482" ht="6" hidden="1" customHeight="1" x14ac:dyDescent="0.35"/>
    <row r="1483" ht="6" hidden="1" customHeight="1" x14ac:dyDescent="0.35"/>
    <row r="1484" ht="6" hidden="1" customHeight="1" x14ac:dyDescent="0.35"/>
    <row r="1485" ht="6" hidden="1" customHeight="1" x14ac:dyDescent="0.35"/>
    <row r="1486" ht="6" hidden="1" customHeight="1" x14ac:dyDescent="0.35"/>
    <row r="1487" ht="6" hidden="1" customHeight="1" x14ac:dyDescent="0.35"/>
    <row r="1488" ht="6" hidden="1" customHeight="1" x14ac:dyDescent="0.35"/>
    <row r="1489" ht="6" hidden="1" customHeight="1" x14ac:dyDescent="0.35"/>
    <row r="1490" ht="6" hidden="1" customHeight="1" x14ac:dyDescent="0.35"/>
    <row r="1491" ht="6" hidden="1" customHeight="1" x14ac:dyDescent="0.35"/>
    <row r="1492" ht="6" hidden="1" customHeight="1" x14ac:dyDescent="0.35"/>
    <row r="1493" ht="6" hidden="1" customHeight="1" x14ac:dyDescent="0.35"/>
    <row r="1494" ht="6" hidden="1" customHeight="1" x14ac:dyDescent="0.35"/>
    <row r="1495" ht="6" hidden="1" customHeight="1" x14ac:dyDescent="0.35"/>
    <row r="1496" ht="6" hidden="1" customHeight="1" x14ac:dyDescent="0.35"/>
    <row r="1497" ht="6" hidden="1" customHeight="1" x14ac:dyDescent="0.35"/>
    <row r="1498" ht="6" hidden="1" customHeight="1" x14ac:dyDescent="0.35"/>
    <row r="1499" ht="6" hidden="1" customHeight="1" x14ac:dyDescent="0.35"/>
    <row r="1500" ht="6" hidden="1" customHeight="1" x14ac:dyDescent="0.35"/>
    <row r="1501" ht="6" hidden="1" customHeight="1" x14ac:dyDescent="0.35"/>
    <row r="1502" ht="6" hidden="1" customHeight="1" x14ac:dyDescent="0.35"/>
    <row r="1503" ht="6" hidden="1" customHeight="1" x14ac:dyDescent="0.35"/>
    <row r="1504" ht="6" hidden="1" customHeight="1" x14ac:dyDescent="0.35"/>
    <row r="1505" ht="6" hidden="1" customHeight="1" x14ac:dyDescent="0.35"/>
    <row r="1506" ht="6" hidden="1" customHeight="1" x14ac:dyDescent="0.35"/>
    <row r="1507" ht="6" hidden="1" customHeight="1" x14ac:dyDescent="0.35"/>
    <row r="1508" ht="6" hidden="1" customHeight="1" x14ac:dyDescent="0.35"/>
    <row r="1509" ht="6" hidden="1" customHeight="1" x14ac:dyDescent="0.35"/>
    <row r="1510" ht="6" hidden="1" customHeight="1" x14ac:dyDescent="0.35"/>
    <row r="1511" ht="6" hidden="1" customHeight="1" x14ac:dyDescent="0.35"/>
    <row r="1512" ht="6" hidden="1" customHeight="1" x14ac:dyDescent="0.35"/>
    <row r="1513" ht="6" hidden="1" customHeight="1" x14ac:dyDescent="0.35"/>
    <row r="1514" ht="6" hidden="1" customHeight="1" x14ac:dyDescent="0.35"/>
    <row r="1515" ht="6" hidden="1" customHeight="1" x14ac:dyDescent="0.35"/>
    <row r="1516" ht="6" hidden="1" customHeight="1" x14ac:dyDescent="0.35"/>
    <row r="1517" ht="6" hidden="1" customHeight="1" x14ac:dyDescent="0.35"/>
    <row r="1518" ht="6" hidden="1" customHeight="1" x14ac:dyDescent="0.35"/>
    <row r="1519" ht="6" hidden="1" customHeight="1" x14ac:dyDescent="0.35"/>
    <row r="1520" ht="6" hidden="1" customHeight="1" x14ac:dyDescent="0.35"/>
    <row r="1521" ht="6" hidden="1" customHeight="1" x14ac:dyDescent="0.35"/>
    <row r="1522" ht="6" hidden="1" customHeight="1" x14ac:dyDescent="0.35"/>
    <row r="1523" ht="6" hidden="1" customHeight="1" x14ac:dyDescent="0.35"/>
    <row r="1524" ht="6" hidden="1" customHeight="1" x14ac:dyDescent="0.35"/>
    <row r="1525" ht="6" hidden="1" customHeight="1" x14ac:dyDescent="0.35"/>
    <row r="1526" ht="6" hidden="1" customHeight="1" x14ac:dyDescent="0.35"/>
    <row r="1527" ht="6" hidden="1" customHeight="1" x14ac:dyDescent="0.35"/>
    <row r="1528" ht="6" hidden="1" customHeight="1" x14ac:dyDescent="0.35"/>
    <row r="1529" ht="6" hidden="1" customHeight="1" x14ac:dyDescent="0.35"/>
    <row r="1530" ht="6" hidden="1" customHeight="1" x14ac:dyDescent="0.35"/>
    <row r="1531" ht="6" hidden="1" customHeight="1" x14ac:dyDescent="0.35"/>
    <row r="1532" ht="6" hidden="1" customHeight="1" x14ac:dyDescent="0.35"/>
    <row r="1533" ht="6" hidden="1" customHeight="1" x14ac:dyDescent="0.35"/>
    <row r="1534" ht="6" hidden="1" customHeight="1" x14ac:dyDescent="0.35"/>
    <row r="1535" ht="6" hidden="1" customHeight="1" x14ac:dyDescent="0.35"/>
    <row r="1536" ht="6" hidden="1" customHeight="1" x14ac:dyDescent="0.35"/>
    <row r="1537" ht="6" hidden="1" customHeight="1" x14ac:dyDescent="0.35"/>
    <row r="1538" ht="6" hidden="1" customHeight="1" x14ac:dyDescent="0.35"/>
    <row r="1539" ht="6" hidden="1" customHeight="1" x14ac:dyDescent="0.35"/>
    <row r="1540" ht="6" hidden="1" customHeight="1" x14ac:dyDescent="0.35"/>
    <row r="1541" ht="6" hidden="1" customHeight="1" x14ac:dyDescent="0.35"/>
    <row r="1542" ht="6" hidden="1" customHeight="1" x14ac:dyDescent="0.35"/>
    <row r="1543" ht="6" hidden="1" customHeight="1" x14ac:dyDescent="0.35"/>
    <row r="1544" ht="6" hidden="1" customHeight="1" x14ac:dyDescent="0.35"/>
    <row r="1545" ht="6" hidden="1" customHeight="1" x14ac:dyDescent="0.35"/>
    <row r="1546" ht="6" hidden="1" customHeight="1" x14ac:dyDescent="0.35"/>
    <row r="1547" ht="6" hidden="1" customHeight="1" x14ac:dyDescent="0.35"/>
    <row r="1548" ht="6" hidden="1" customHeight="1" x14ac:dyDescent="0.35"/>
    <row r="1549" ht="6" hidden="1" customHeight="1" x14ac:dyDescent="0.35"/>
    <row r="1550" ht="6" hidden="1" customHeight="1" x14ac:dyDescent="0.35"/>
    <row r="1551" ht="6" hidden="1" customHeight="1" x14ac:dyDescent="0.35"/>
    <row r="1552" ht="6" hidden="1" customHeight="1" x14ac:dyDescent="0.35"/>
    <row r="1553" ht="6" hidden="1" customHeight="1" x14ac:dyDescent="0.35"/>
    <row r="1554" ht="6" hidden="1" customHeight="1" x14ac:dyDescent="0.35"/>
    <row r="1555" ht="6" hidden="1" customHeight="1" x14ac:dyDescent="0.35"/>
    <row r="1556" ht="6" hidden="1" customHeight="1" x14ac:dyDescent="0.35"/>
    <row r="1557" ht="6" hidden="1" customHeight="1" x14ac:dyDescent="0.35"/>
    <row r="1558" ht="6" hidden="1" customHeight="1" x14ac:dyDescent="0.35"/>
    <row r="1559" ht="6" hidden="1" customHeight="1" x14ac:dyDescent="0.35"/>
    <row r="1560" ht="6" hidden="1" customHeight="1" x14ac:dyDescent="0.35"/>
    <row r="1561" ht="6" hidden="1" customHeight="1" x14ac:dyDescent="0.35"/>
    <row r="1562" ht="6" hidden="1" customHeight="1" x14ac:dyDescent="0.35"/>
    <row r="1563" ht="6" hidden="1" customHeight="1" x14ac:dyDescent="0.35"/>
    <row r="1564" ht="6" hidden="1" customHeight="1" x14ac:dyDescent="0.35"/>
    <row r="1565" ht="6" hidden="1" customHeight="1" x14ac:dyDescent="0.35"/>
    <row r="1566" ht="6" hidden="1" customHeight="1" x14ac:dyDescent="0.35"/>
    <row r="1567" ht="6" hidden="1" customHeight="1" x14ac:dyDescent="0.35"/>
    <row r="1568" ht="6" hidden="1" customHeight="1" x14ac:dyDescent="0.35"/>
    <row r="1569" ht="6" hidden="1" customHeight="1" x14ac:dyDescent="0.35"/>
    <row r="1570" ht="6" hidden="1" customHeight="1" x14ac:dyDescent="0.35"/>
    <row r="1571" ht="6" hidden="1" customHeight="1" x14ac:dyDescent="0.35"/>
    <row r="1572" ht="6" hidden="1" customHeight="1" x14ac:dyDescent="0.35"/>
    <row r="1573" ht="6" hidden="1" customHeight="1" x14ac:dyDescent="0.35"/>
    <row r="1574" ht="6" hidden="1" customHeight="1" x14ac:dyDescent="0.35"/>
    <row r="1575" ht="6" hidden="1" customHeight="1" x14ac:dyDescent="0.35"/>
    <row r="1576" ht="6" hidden="1" customHeight="1" x14ac:dyDescent="0.35"/>
    <row r="1577" ht="6" hidden="1" customHeight="1" x14ac:dyDescent="0.35"/>
    <row r="1578" ht="6" hidden="1" customHeight="1" x14ac:dyDescent="0.35"/>
    <row r="1579" ht="6" hidden="1" customHeight="1" x14ac:dyDescent="0.35"/>
    <row r="1580" ht="6" hidden="1" customHeight="1" x14ac:dyDescent="0.35"/>
    <row r="1581" ht="6" hidden="1" customHeight="1" x14ac:dyDescent="0.35"/>
    <row r="1582" ht="6" hidden="1" customHeight="1" x14ac:dyDescent="0.35"/>
    <row r="1583" ht="6" hidden="1" customHeight="1" x14ac:dyDescent="0.35"/>
    <row r="1584" ht="6" hidden="1" customHeight="1" x14ac:dyDescent="0.35"/>
    <row r="1585" ht="6" hidden="1" customHeight="1" x14ac:dyDescent="0.35"/>
    <row r="1586" ht="6" hidden="1" customHeight="1" x14ac:dyDescent="0.35"/>
    <row r="1587" ht="6" hidden="1" customHeight="1" x14ac:dyDescent="0.35"/>
    <row r="1588" ht="6" hidden="1" customHeight="1" x14ac:dyDescent="0.35"/>
    <row r="1589" ht="6" hidden="1" customHeight="1" x14ac:dyDescent="0.35"/>
    <row r="1590" ht="6" hidden="1" customHeight="1" x14ac:dyDescent="0.35"/>
    <row r="1591" ht="6" hidden="1" customHeight="1" x14ac:dyDescent="0.35"/>
    <row r="1592" ht="6" hidden="1" customHeight="1" x14ac:dyDescent="0.35"/>
    <row r="1593" ht="6" hidden="1" customHeight="1" x14ac:dyDescent="0.35"/>
    <row r="1594" ht="6" hidden="1" customHeight="1" x14ac:dyDescent="0.35"/>
    <row r="1595" ht="6" hidden="1" customHeight="1" x14ac:dyDescent="0.35"/>
    <row r="1596" ht="6" hidden="1" customHeight="1" x14ac:dyDescent="0.35"/>
    <row r="1597" ht="6" hidden="1" customHeight="1" x14ac:dyDescent="0.35"/>
    <row r="1598" ht="6" hidden="1" customHeight="1" x14ac:dyDescent="0.35"/>
    <row r="1599" ht="6" hidden="1" customHeight="1" x14ac:dyDescent="0.35"/>
    <row r="1600" ht="6" hidden="1" customHeight="1" x14ac:dyDescent="0.35"/>
    <row r="1601" ht="6" hidden="1" customHeight="1" x14ac:dyDescent="0.35"/>
    <row r="1602" ht="6" hidden="1" customHeight="1" x14ac:dyDescent="0.35"/>
    <row r="1603" ht="6" hidden="1" customHeight="1" x14ac:dyDescent="0.35"/>
    <row r="1604" ht="6" hidden="1" customHeight="1" x14ac:dyDescent="0.35"/>
    <row r="1605" ht="6" hidden="1" customHeight="1" x14ac:dyDescent="0.35"/>
    <row r="1606" ht="6" hidden="1" customHeight="1" x14ac:dyDescent="0.35"/>
    <row r="1607" ht="6" hidden="1" customHeight="1" x14ac:dyDescent="0.35"/>
    <row r="1608" ht="6" hidden="1" customHeight="1" x14ac:dyDescent="0.35"/>
    <row r="1609" ht="6" hidden="1" customHeight="1" x14ac:dyDescent="0.35"/>
    <row r="1610" ht="6" hidden="1" customHeight="1" x14ac:dyDescent="0.35"/>
    <row r="1611" ht="6" hidden="1" customHeight="1" x14ac:dyDescent="0.35"/>
    <row r="1612" ht="6" hidden="1" customHeight="1" x14ac:dyDescent="0.35"/>
    <row r="1613" ht="6" hidden="1" customHeight="1" x14ac:dyDescent="0.35"/>
    <row r="1614" ht="6" hidden="1" customHeight="1" x14ac:dyDescent="0.35"/>
    <row r="1615" ht="6" hidden="1" customHeight="1" x14ac:dyDescent="0.35"/>
    <row r="1616" ht="6" hidden="1" customHeight="1" x14ac:dyDescent="0.35"/>
    <row r="1617" ht="6" hidden="1" customHeight="1" x14ac:dyDescent="0.35"/>
    <row r="1618" ht="6" hidden="1" customHeight="1" x14ac:dyDescent="0.35"/>
    <row r="1619" ht="6" hidden="1" customHeight="1" x14ac:dyDescent="0.35"/>
    <row r="1620" ht="6" hidden="1" customHeight="1" x14ac:dyDescent="0.35"/>
    <row r="1621" ht="6" hidden="1" customHeight="1" x14ac:dyDescent="0.35"/>
    <row r="1622" ht="6" hidden="1" customHeight="1" x14ac:dyDescent="0.35"/>
    <row r="1623" ht="6" hidden="1" customHeight="1" x14ac:dyDescent="0.35"/>
    <row r="1624" ht="6" hidden="1" customHeight="1" x14ac:dyDescent="0.35"/>
    <row r="1625" ht="6" hidden="1" customHeight="1" x14ac:dyDescent="0.35"/>
    <row r="1626" ht="8.15" hidden="1" customHeight="1" x14ac:dyDescent="0.35"/>
    <row r="1627" ht="6" hidden="1" customHeight="1" x14ac:dyDescent="0.35"/>
    <row r="1628" ht="6" hidden="1" customHeight="1" x14ac:dyDescent="0.35"/>
    <row r="1629" ht="6" hidden="1" customHeight="1" x14ac:dyDescent="0.35"/>
    <row r="1630" ht="6" hidden="1" customHeight="1" x14ac:dyDescent="0.35"/>
    <row r="1631" ht="6" hidden="1" customHeight="1" x14ac:dyDescent="0.35"/>
    <row r="1632" ht="6" hidden="1" customHeight="1" x14ac:dyDescent="0.35"/>
    <row r="1633" ht="6" hidden="1" customHeight="1" x14ac:dyDescent="0.35"/>
    <row r="1634" ht="6" hidden="1" customHeight="1" x14ac:dyDescent="0.35"/>
    <row r="1635" ht="6" hidden="1" customHeight="1" x14ac:dyDescent="0.35"/>
    <row r="1636" ht="6" hidden="1" customHeight="1" x14ac:dyDescent="0.35"/>
    <row r="1637" ht="6" hidden="1" customHeight="1" x14ac:dyDescent="0.35"/>
    <row r="1638" ht="6" hidden="1" customHeight="1" x14ac:dyDescent="0.35"/>
    <row r="1639" ht="6" hidden="1" customHeight="1" x14ac:dyDescent="0.35"/>
    <row r="1640" ht="6" hidden="1" customHeight="1" x14ac:dyDescent="0.35"/>
    <row r="1641" ht="6" hidden="1" customHeight="1" x14ac:dyDescent="0.35"/>
    <row r="1642" ht="6" hidden="1" customHeight="1" x14ac:dyDescent="0.35"/>
    <row r="1643" ht="6" hidden="1" customHeight="1" x14ac:dyDescent="0.35"/>
    <row r="1644" ht="6" hidden="1" customHeight="1" x14ac:dyDescent="0.35"/>
    <row r="1645" ht="6" hidden="1" customHeight="1" x14ac:dyDescent="0.35"/>
    <row r="1646" ht="6" hidden="1" customHeight="1" x14ac:dyDescent="0.35"/>
    <row r="1647" ht="6" hidden="1" customHeight="1" x14ac:dyDescent="0.35"/>
    <row r="1648" ht="6" hidden="1" customHeight="1" x14ac:dyDescent="0.35"/>
    <row r="1649" ht="6" hidden="1" customHeight="1" x14ac:dyDescent="0.35"/>
    <row r="1650" ht="6" hidden="1" customHeight="1" x14ac:dyDescent="0.35"/>
    <row r="1651" ht="6" hidden="1" customHeight="1" x14ac:dyDescent="0.35"/>
    <row r="1652" ht="6" hidden="1" customHeight="1" x14ac:dyDescent="0.35"/>
    <row r="1653" ht="6" hidden="1" customHeight="1" x14ac:dyDescent="0.35"/>
    <row r="1654" ht="6" hidden="1" customHeight="1" x14ac:dyDescent="0.35"/>
    <row r="1655" ht="6" hidden="1" customHeight="1" x14ac:dyDescent="0.35"/>
    <row r="1656" ht="6" hidden="1" customHeight="1" x14ac:dyDescent="0.35"/>
    <row r="1657" ht="6" hidden="1" customHeight="1" x14ac:dyDescent="0.35"/>
    <row r="1658" ht="6" hidden="1" customHeight="1" x14ac:dyDescent="0.35"/>
    <row r="1659" ht="6" hidden="1" customHeight="1" x14ac:dyDescent="0.35"/>
    <row r="1660" ht="6" hidden="1" customHeight="1" x14ac:dyDescent="0.35"/>
    <row r="1661" ht="6" hidden="1" customHeight="1" x14ac:dyDescent="0.35"/>
    <row r="1662" ht="6" hidden="1" customHeight="1" x14ac:dyDescent="0.35"/>
    <row r="1663" ht="6" hidden="1" customHeight="1" x14ac:dyDescent="0.35"/>
    <row r="1664" ht="6" hidden="1" customHeight="1" x14ac:dyDescent="0.35"/>
    <row r="1665" ht="6" hidden="1" customHeight="1" x14ac:dyDescent="0.35"/>
    <row r="1666" ht="6" hidden="1" customHeight="1" x14ac:dyDescent="0.35"/>
    <row r="1667" ht="6" hidden="1" customHeight="1" x14ac:dyDescent="0.35"/>
    <row r="1668" ht="6" hidden="1" customHeight="1" x14ac:dyDescent="0.35"/>
    <row r="1669" ht="6" hidden="1" customHeight="1" x14ac:dyDescent="0.35"/>
    <row r="1670" ht="6" hidden="1" customHeight="1" x14ac:dyDescent="0.35"/>
    <row r="1671" ht="6" hidden="1" customHeight="1" x14ac:dyDescent="0.35"/>
    <row r="1672" ht="6" hidden="1" customHeight="1" x14ac:dyDescent="0.35"/>
    <row r="1673" ht="6" hidden="1" customHeight="1" x14ac:dyDescent="0.35"/>
    <row r="1674" ht="6" hidden="1" customHeight="1" x14ac:dyDescent="0.35"/>
    <row r="1675" ht="6" hidden="1" customHeight="1" x14ac:dyDescent="0.35"/>
    <row r="1676" ht="6" hidden="1" customHeight="1" x14ac:dyDescent="0.35"/>
    <row r="1677" ht="6" hidden="1" customHeight="1" x14ac:dyDescent="0.35"/>
    <row r="1678" ht="6" hidden="1" customHeight="1" x14ac:dyDescent="0.35"/>
    <row r="1679" ht="6" hidden="1" customHeight="1" x14ac:dyDescent="0.35"/>
    <row r="1680" ht="6" hidden="1" customHeight="1" x14ac:dyDescent="0.35"/>
    <row r="1681" ht="6" hidden="1" customHeight="1" x14ac:dyDescent="0.35"/>
    <row r="1682" ht="6" hidden="1" customHeight="1" x14ac:dyDescent="0.35"/>
    <row r="1683" ht="6" hidden="1" customHeight="1" x14ac:dyDescent="0.35"/>
    <row r="1684" ht="6" hidden="1" customHeight="1" x14ac:dyDescent="0.35"/>
    <row r="1685" ht="6" hidden="1" customHeight="1" x14ac:dyDescent="0.35"/>
    <row r="1686" ht="6" hidden="1" customHeight="1" x14ac:dyDescent="0.35"/>
    <row r="1687" ht="6" hidden="1" customHeight="1" x14ac:dyDescent="0.35"/>
    <row r="1688" ht="6" hidden="1" customHeight="1" x14ac:dyDescent="0.35"/>
    <row r="1689" ht="6" hidden="1" customHeight="1" x14ac:dyDescent="0.35"/>
    <row r="1690" ht="6" hidden="1" customHeight="1" x14ac:dyDescent="0.35"/>
    <row r="1691" ht="6" hidden="1" customHeight="1" x14ac:dyDescent="0.35"/>
    <row r="1692" ht="6" hidden="1" customHeight="1" x14ac:dyDescent="0.35"/>
    <row r="1693" ht="6" hidden="1" customHeight="1" x14ac:dyDescent="0.35"/>
    <row r="1694" ht="12.65" customHeight="1" x14ac:dyDescent="0.35"/>
    <row r="1698" ht="36" customHeight="1" x14ac:dyDescent="0.35"/>
    <row r="1712" ht="6" hidden="1" customHeight="1" x14ac:dyDescent="0.35"/>
    <row r="2085" ht="3" customHeight="1" x14ac:dyDescent="0.35"/>
    <row r="2086" ht="6" hidden="1" customHeight="1" x14ac:dyDescent="0.35"/>
    <row r="2087" ht="6" hidden="1" customHeight="1" x14ac:dyDescent="0.35"/>
    <row r="2088" ht="6" hidden="1" customHeight="1" x14ac:dyDescent="0.35"/>
    <row r="2089" ht="6" hidden="1" customHeight="1" x14ac:dyDescent="0.35"/>
    <row r="2090" ht="6" hidden="1" customHeight="1" x14ac:dyDescent="0.35"/>
    <row r="2091" ht="6" hidden="1" customHeight="1" x14ac:dyDescent="0.35"/>
    <row r="2092" ht="6" hidden="1" customHeight="1" x14ac:dyDescent="0.35"/>
    <row r="2093" ht="6" hidden="1" customHeight="1" x14ac:dyDescent="0.35"/>
    <row r="2094" ht="6" hidden="1" customHeight="1" x14ac:dyDescent="0.35"/>
    <row r="2095" ht="6" hidden="1" customHeight="1" x14ac:dyDescent="0.35"/>
    <row r="2096" ht="6" hidden="1" customHeight="1" x14ac:dyDescent="0.35"/>
    <row r="2097" ht="6" hidden="1" customHeight="1" x14ac:dyDescent="0.35"/>
    <row r="2098" ht="6" hidden="1" customHeight="1" x14ac:dyDescent="0.35"/>
    <row r="2099" ht="6" hidden="1" customHeight="1" x14ac:dyDescent="0.35"/>
    <row r="2100" ht="6" hidden="1" customHeight="1" x14ac:dyDescent="0.35"/>
    <row r="2101" ht="6" hidden="1" customHeight="1" x14ac:dyDescent="0.35"/>
    <row r="2102" ht="6" hidden="1" customHeight="1" x14ac:dyDescent="0.35"/>
    <row r="2103" ht="6" hidden="1" customHeight="1" x14ac:dyDescent="0.35"/>
    <row r="2104" ht="6" hidden="1" customHeight="1" x14ac:dyDescent="0.35"/>
    <row r="2105" ht="6" hidden="1" customHeight="1" x14ac:dyDescent="0.35"/>
    <row r="2106" ht="6" hidden="1" customHeight="1" x14ac:dyDescent="0.35"/>
    <row r="2107" ht="6" hidden="1" customHeight="1" x14ac:dyDescent="0.35"/>
    <row r="2108" ht="6" hidden="1" customHeight="1" x14ac:dyDescent="0.35"/>
    <row r="2109" ht="6" hidden="1" customHeight="1" x14ac:dyDescent="0.35"/>
    <row r="2110" ht="6" hidden="1" customHeight="1" x14ac:dyDescent="0.35"/>
    <row r="2111" ht="6" hidden="1" customHeight="1" x14ac:dyDescent="0.35"/>
    <row r="2112" ht="6" hidden="1" customHeight="1" x14ac:dyDescent="0.35"/>
    <row r="2113" ht="6" hidden="1" customHeight="1" x14ac:dyDescent="0.35"/>
    <row r="2114" ht="6" hidden="1" customHeight="1" x14ac:dyDescent="0.35"/>
    <row r="2115" ht="6" hidden="1" customHeight="1" x14ac:dyDescent="0.35"/>
    <row r="2116" ht="6" hidden="1" customHeight="1" x14ac:dyDescent="0.35"/>
    <row r="2117" ht="6" hidden="1" customHeight="1" x14ac:dyDescent="0.35"/>
    <row r="2118" ht="6" hidden="1" customHeight="1" x14ac:dyDescent="0.35"/>
    <row r="2119" ht="6" hidden="1" customHeight="1" x14ac:dyDescent="0.35"/>
    <row r="2120" ht="6" hidden="1" customHeight="1" x14ac:dyDescent="0.35"/>
    <row r="2121" ht="6" hidden="1" customHeight="1" x14ac:dyDescent="0.35"/>
    <row r="2122" ht="6" hidden="1" customHeight="1" x14ac:dyDescent="0.35"/>
    <row r="2123" ht="6" hidden="1" customHeight="1" x14ac:dyDescent="0.35"/>
    <row r="2124" ht="6" hidden="1" customHeight="1" x14ac:dyDescent="0.35"/>
    <row r="2125" ht="6" hidden="1" customHeight="1" x14ac:dyDescent="0.35"/>
    <row r="2126" ht="6" hidden="1" customHeight="1" x14ac:dyDescent="0.35"/>
    <row r="2127" ht="6" hidden="1" customHeight="1" x14ac:dyDescent="0.35"/>
    <row r="2128" ht="6" hidden="1" customHeight="1" x14ac:dyDescent="0.35"/>
    <row r="2129" ht="6" hidden="1" customHeight="1" x14ac:dyDescent="0.35"/>
    <row r="2130" ht="6" hidden="1" customHeight="1" x14ac:dyDescent="0.35"/>
    <row r="2131" ht="6" hidden="1" customHeight="1" x14ac:dyDescent="0.35"/>
    <row r="2132" ht="6" hidden="1" customHeight="1" x14ac:dyDescent="0.35"/>
    <row r="2133" ht="6" hidden="1" customHeight="1" x14ac:dyDescent="0.35"/>
    <row r="2134" ht="6" hidden="1" customHeight="1" x14ac:dyDescent="0.35"/>
    <row r="2135" ht="6" hidden="1" customHeight="1" x14ac:dyDescent="0.35"/>
    <row r="2136" ht="6" hidden="1" customHeight="1" x14ac:dyDescent="0.35"/>
    <row r="2137" ht="6" hidden="1" customHeight="1" x14ac:dyDescent="0.35"/>
    <row r="2138" ht="6" hidden="1" customHeight="1" x14ac:dyDescent="0.35"/>
    <row r="2139" ht="6" hidden="1" customHeight="1" x14ac:dyDescent="0.35"/>
    <row r="2140" ht="6" hidden="1" customHeight="1" x14ac:dyDescent="0.35"/>
    <row r="2141" ht="6" hidden="1" customHeight="1" x14ac:dyDescent="0.35"/>
    <row r="2142" ht="6" hidden="1" customHeight="1" x14ac:dyDescent="0.35"/>
    <row r="2143" ht="6" hidden="1" customHeight="1" x14ac:dyDescent="0.35"/>
    <row r="2144" ht="6" hidden="1" customHeight="1" x14ac:dyDescent="0.35"/>
    <row r="2145" ht="6" hidden="1" customHeight="1" x14ac:dyDescent="0.35"/>
    <row r="2146" ht="6" hidden="1" customHeight="1" x14ac:dyDescent="0.35"/>
    <row r="2147" ht="6" hidden="1" customHeight="1" x14ac:dyDescent="0.35"/>
    <row r="2148" ht="6" hidden="1" customHeight="1" x14ac:dyDescent="0.35"/>
    <row r="2149" ht="6" hidden="1" customHeight="1" x14ac:dyDescent="0.35"/>
    <row r="2150" ht="6" hidden="1" customHeight="1" x14ac:dyDescent="0.35"/>
    <row r="2151" ht="6" hidden="1" customHeight="1" x14ac:dyDescent="0.35"/>
    <row r="2152" ht="6" hidden="1" customHeight="1" x14ac:dyDescent="0.35"/>
    <row r="2153" ht="6" hidden="1" customHeight="1" x14ac:dyDescent="0.35"/>
    <row r="2154" ht="6" hidden="1" customHeight="1" x14ac:dyDescent="0.35"/>
    <row r="2155" ht="6" hidden="1" customHeight="1" x14ac:dyDescent="0.35"/>
    <row r="2156" ht="6" hidden="1" customHeight="1" x14ac:dyDescent="0.35"/>
    <row r="2157" ht="6" hidden="1" customHeight="1" x14ac:dyDescent="0.35"/>
    <row r="2158" ht="6" hidden="1" customHeight="1" x14ac:dyDescent="0.35"/>
    <row r="2159" ht="6" hidden="1" customHeight="1" x14ac:dyDescent="0.35"/>
    <row r="2160" ht="6" hidden="1" customHeight="1" x14ac:dyDescent="0.35"/>
    <row r="2161" ht="6" hidden="1" customHeight="1" x14ac:dyDescent="0.35"/>
    <row r="2162" ht="6" hidden="1" customHeight="1" x14ac:dyDescent="0.35"/>
    <row r="2163" ht="6" hidden="1" customHeight="1" x14ac:dyDescent="0.35"/>
    <row r="2164" ht="6" hidden="1" customHeight="1" x14ac:dyDescent="0.35"/>
    <row r="2165" ht="6" hidden="1" customHeight="1" x14ac:dyDescent="0.35"/>
    <row r="2166" ht="6" hidden="1" customHeight="1" x14ac:dyDescent="0.35"/>
    <row r="2167" ht="6" hidden="1" customHeight="1" x14ac:dyDescent="0.35"/>
    <row r="2168" ht="6" hidden="1" customHeight="1" x14ac:dyDescent="0.35"/>
    <row r="2169" ht="6" hidden="1" customHeight="1" x14ac:dyDescent="0.35"/>
    <row r="2170" ht="6" hidden="1" customHeight="1" x14ac:dyDescent="0.35"/>
    <row r="2171" ht="6" hidden="1" customHeight="1" x14ac:dyDescent="0.35"/>
    <row r="2172" ht="6" hidden="1" customHeight="1" x14ac:dyDescent="0.35"/>
    <row r="2173" ht="6" hidden="1" customHeight="1" x14ac:dyDescent="0.35"/>
    <row r="2174" ht="6" hidden="1" customHeight="1" x14ac:dyDescent="0.35"/>
    <row r="2175" ht="6" hidden="1" customHeight="1" x14ac:dyDescent="0.35"/>
    <row r="2176" ht="6" hidden="1" customHeight="1" x14ac:dyDescent="0.35"/>
    <row r="2177" ht="6" hidden="1" customHeight="1" x14ac:dyDescent="0.35"/>
    <row r="2178" ht="6" hidden="1" customHeight="1" x14ac:dyDescent="0.35"/>
    <row r="2179" ht="6" hidden="1" customHeight="1" x14ac:dyDescent="0.35"/>
    <row r="2180" ht="6" hidden="1" customHeight="1" x14ac:dyDescent="0.35"/>
    <row r="2181" ht="6" hidden="1" customHeight="1" x14ac:dyDescent="0.35"/>
    <row r="2182" ht="6" hidden="1" customHeight="1" x14ac:dyDescent="0.35"/>
    <row r="2183" ht="6" hidden="1" customHeight="1" x14ac:dyDescent="0.35"/>
    <row r="2184" ht="6" hidden="1" customHeight="1" x14ac:dyDescent="0.35"/>
    <row r="2185" ht="6" hidden="1" customHeight="1" x14ac:dyDescent="0.35"/>
    <row r="2186" ht="6" hidden="1" customHeight="1" x14ac:dyDescent="0.35"/>
    <row r="2187" ht="6" hidden="1" customHeight="1" x14ac:dyDescent="0.35"/>
    <row r="2188" ht="6" hidden="1" customHeight="1" x14ac:dyDescent="0.35"/>
    <row r="2189" ht="6" hidden="1" customHeight="1" x14ac:dyDescent="0.35"/>
    <row r="2190" ht="6" hidden="1" customHeight="1" x14ac:dyDescent="0.35"/>
    <row r="2191" ht="6" hidden="1" customHeight="1" x14ac:dyDescent="0.35"/>
    <row r="2192" ht="6" hidden="1" customHeight="1" x14ac:dyDescent="0.35"/>
    <row r="2193" ht="6" hidden="1" customHeight="1" x14ac:dyDescent="0.35"/>
  </sheetData>
  <mergeCells count="17">
    <mergeCell ref="BB3:BD4"/>
    <mergeCell ref="BE3:BH4"/>
    <mergeCell ref="AP4:AR4"/>
    <mergeCell ref="AS4:AU4"/>
    <mergeCell ref="AV4:AX4"/>
    <mergeCell ref="AY4:BA4"/>
    <mergeCell ref="B27:C27"/>
    <mergeCell ref="B28:C28"/>
    <mergeCell ref="AF3:AJ4"/>
    <mergeCell ref="AK3:AO4"/>
    <mergeCell ref="AP3:BA3"/>
    <mergeCell ref="A3:K4"/>
    <mergeCell ref="L3:P4"/>
    <mergeCell ref="Q3:T4"/>
    <mergeCell ref="U3:V4"/>
    <mergeCell ref="W3:Z4"/>
    <mergeCell ref="AB3:AE4"/>
  </mergeCells>
  <dataValidations count="1">
    <dataValidation type="textLength" showInputMessage="1" showErrorMessage="1" promptTitle="CARACTERES PERMITIDOS EN EL ASE" prompt="La extensión del texto no debe superar 90 caracteres." sqref="AB6:AB26" xr:uid="{12ED7470-5FA8-484B-8149-2BE44EE63F86}">
      <formula1>0</formula1>
      <formula2>90</formula2>
    </dataValidation>
  </dataValidations>
  <pageMargins left="0.7" right="0.7" top="0.75" bottom="0.75" header="0.3" footer="0.3"/>
  <pageSetup scale="10" orientation="portrait" r:id="rId1"/>
  <colBreaks count="1" manualBreakCount="1">
    <brk id="16383" max="1048575"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E20B-9023-4F83-8C6B-D8111F0928A9}">
  <dimension ref="A1:BH2260"/>
  <sheetViews>
    <sheetView showGridLines="0" topLeftCell="AE1" zoomScale="80" zoomScaleNormal="80" zoomScaleSheetLayoutView="70" workbookViewId="0">
      <selection activeCell="AH5" sqref="AH5"/>
    </sheetView>
  </sheetViews>
  <sheetFormatPr baseColWidth="10" defaultColWidth="0" defaultRowHeight="6" customHeight="1"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56" width="16.7265625" hidden="1" customWidth="1"/>
    <col min="57" max="58" width="26" style="4" customWidth="1"/>
    <col min="59" max="60" width="25.81640625" style="4" customWidth="1"/>
    <col min="61" max="16384" width="11.453125" hidden="1"/>
  </cols>
  <sheetData>
    <row r="1" spans="1:60" ht="104.25" customHeight="1" x14ac:dyDescent="0.35">
      <c r="A1" s="38"/>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row>
    <row r="2" spans="1:60"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s="226" customFormat="1" ht="30.65" customHeight="1" x14ac:dyDescent="0.35">
      <c r="A3" s="339" t="s">
        <v>48</v>
      </c>
      <c r="B3" s="340"/>
      <c r="C3" s="340"/>
      <c r="D3" s="340"/>
      <c r="E3" s="340"/>
      <c r="F3" s="340"/>
      <c r="G3" s="340"/>
      <c r="H3" s="340"/>
      <c r="I3" s="340"/>
      <c r="J3" s="340"/>
      <c r="K3" s="341"/>
      <c r="L3" s="339" t="s">
        <v>52</v>
      </c>
      <c r="M3" s="340"/>
      <c r="N3" s="340"/>
      <c r="O3" s="340"/>
      <c r="P3" s="341"/>
      <c r="Q3" s="347" t="s">
        <v>27</v>
      </c>
      <c r="R3" s="347"/>
      <c r="S3" s="347"/>
      <c r="T3" s="347"/>
      <c r="U3" s="347" t="s">
        <v>41</v>
      </c>
      <c r="V3" s="347"/>
      <c r="W3" s="339" t="s">
        <v>10</v>
      </c>
      <c r="X3" s="340"/>
      <c r="Y3" s="340"/>
      <c r="Z3" s="341"/>
      <c r="AA3" s="225"/>
      <c r="AB3" s="340"/>
      <c r="AC3" s="340"/>
      <c r="AD3" s="340"/>
      <c r="AE3" s="341"/>
      <c r="AF3" s="339" t="s">
        <v>49</v>
      </c>
      <c r="AG3" s="340"/>
      <c r="AH3" s="340"/>
      <c r="AI3" s="340"/>
      <c r="AJ3" s="341"/>
      <c r="AK3" s="339" t="s">
        <v>21</v>
      </c>
      <c r="AL3" s="340"/>
      <c r="AM3" s="340"/>
      <c r="AN3" s="340"/>
      <c r="AO3" s="341"/>
      <c r="AP3" s="345" t="s">
        <v>27</v>
      </c>
      <c r="AQ3" s="346"/>
      <c r="AR3" s="346"/>
      <c r="AS3" s="346"/>
      <c r="AT3" s="346"/>
      <c r="AU3" s="346"/>
      <c r="AV3" s="346"/>
      <c r="AW3" s="346"/>
      <c r="AX3" s="346"/>
      <c r="AY3" s="346"/>
      <c r="AZ3" s="346"/>
      <c r="BA3" s="346"/>
      <c r="BB3" s="348" t="s">
        <v>41</v>
      </c>
      <c r="BC3" s="349"/>
      <c r="BD3" s="350"/>
      <c r="BE3" s="351" t="s">
        <v>548</v>
      </c>
      <c r="BF3" s="351"/>
      <c r="BG3" s="351"/>
      <c r="BH3" s="351"/>
    </row>
    <row r="4" spans="1:60" s="226" customFormat="1" ht="30.65" customHeight="1" x14ac:dyDescent="0.35">
      <c r="A4" s="342"/>
      <c r="B4" s="343"/>
      <c r="C4" s="343"/>
      <c r="D4" s="343"/>
      <c r="E4" s="343"/>
      <c r="F4" s="343"/>
      <c r="G4" s="343"/>
      <c r="H4" s="343"/>
      <c r="I4" s="343"/>
      <c r="J4" s="343"/>
      <c r="K4" s="344"/>
      <c r="L4" s="342"/>
      <c r="M4" s="343"/>
      <c r="N4" s="343"/>
      <c r="O4" s="343"/>
      <c r="P4" s="344"/>
      <c r="Q4" s="347"/>
      <c r="R4" s="347"/>
      <c r="S4" s="347"/>
      <c r="T4" s="347"/>
      <c r="U4" s="347"/>
      <c r="V4" s="347"/>
      <c r="W4" s="342"/>
      <c r="X4" s="343"/>
      <c r="Y4" s="343"/>
      <c r="Z4" s="344"/>
      <c r="AA4" s="227"/>
      <c r="AB4" s="343"/>
      <c r="AC4" s="343"/>
      <c r="AD4" s="343"/>
      <c r="AE4" s="344"/>
      <c r="AF4" s="342"/>
      <c r="AG4" s="343"/>
      <c r="AH4" s="343"/>
      <c r="AI4" s="343"/>
      <c r="AJ4" s="344"/>
      <c r="AK4" s="342"/>
      <c r="AL4" s="343"/>
      <c r="AM4" s="343"/>
      <c r="AN4" s="343"/>
      <c r="AO4" s="344"/>
      <c r="AP4" s="353" t="s">
        <v>22</v>
      </c>
      <c r="AQ4" s="354"/>
      <c r="AR4" s="354"/>
      <c r="AS4" s="353" t="s">
        <v>23</v>
      </c>
      <c r="AT4" s="354"/>
      <c r="AU4" s="355"/>
      <c r="AV4" s="353" t="s">
        <v>24</v>
      </c>
      <c r="AW4" s="354"/>
      <c r="AX4" s="355"/>
      <c r="AY4" s="353" t="s">
        <v>25</v>
      </c>
      <c r="AZ4" s="354"/>
      <c r="BA4" s="354"/>
      <c r="BB4" s="342"/>
      <c r="BC4" s="343"/>
      <c r="BD4" s="344"/>
      <c r="BE4" s="352"/>
      <c r="BF4" s="352"/>
      <c r="BG4" s="352"/>
      <c r="BH4" s="352"/>
    </row>
    <row r="5" spans="1:60" s="226" customFormat="1" ht="105.65" customHeight="1" x14ac:dyDescent="0.35">
      <c r="A5" s="228" t="s">
        <v>7</v>
      </c>
      <c r="B5" s="228" t="s">
        <v>8</v>
      </c>
      <c r="C5" s="228" t="s">
        <v>9</v>
      </c>
      <c r="D5" s="229" t="s">
        <v>549</v>
      </c>
      <c r="E5" s="229" t="s">
        <v>50</v>
      </c>
      <c r="F5" s="229" t="s">
        <v>541</v>
      </c>
      <c r="G5" s="229" t="s">
        <v>542</v>
      </c>
      <c r="H5" s="229" t="s">
        <v>14</v>
      </c>
      <c r="I5" s="229" t="s">
        <v>64</v>
      </c>
      <c r="J5" s="229" t="s">
        <v>16</v>
      </c>
      <c r="K5" s="229" t="s">
        <v>543</v>
      </c>
      <c r="L5" s="228" t="s">
        <v>22</v>
      </c>
      <c r="M5" s="228" t="s">
        <v>23</v>
      </c>
      <c r="N5" s="228" t="s">
        <v>24</v>
      </c>
      <c r="O5" s="228" t="s">
        <v>25</v>
      </c>
      <c r="P5" s="230" t="s">
        <v>26</v>
      </c>
      <c r="Q5" s="228" t="s">
        <v>53</v>
      </c>
      <c r="R5" s="228" t="s">
        <v>54</v>
      </c>
      <c r="S5" s="228" t="s">
        <v>43</v>
      </c>
      <c r="T5" s="228" t="s">
        <v>55</v>
      </c>
      <c r="U5" s="228" t="s">
        <v>46</v>
      </c>
      <c r="V5" s="228" t="s">
        <v>51</v>
      </c>
      <c r="W5" s="228" t="s">
        <v>0</v>
      </c>
      <c r="X5" s="228" t="s">
        <v>2</v>
      </c>
      <c r="Y5" s="228" t="s">
        <v>11</v>
      </c>
      <c r="Z5" s="228" t="s">
        <v>12</v>
      </c>
      <c r="AA5" s="228" t="s">
        <v>544</v>
      </c>
      <c r="AB5" s="228" t="s">
        <v>17</v>
      </c>
      <c r="AC5" s="228" t="s">
        <v>6</v>
      </c>
      <c r="AD5" s="229" t="s">
        <v>18</v>
      </c>
      <c r="AE5" s="229" t="s">
        <v>19</v>
      </c>
      <c r="AF5" s="229" t="s">
        <v>550</v>
      </c>
      <c r="AG5" s="229" t="s">
        <v>57</v>
      </c>
      <c r="AH5" s="229" t="s">
        <v>15</v>
      </c>
      <c r="AI5" s="229" t="s">
        <v>58</v>
      </c>
      <c r="AJ5" s="229" t="s">
        <v>545</v>
      </c>
      <c r="AK5" s="231" t="s">
        <v>42</v>
      </c>
      <c r="AL5" s="231" t="s">
        <v>59</v>
      </c>
      <c r="AM5" s="231" t="s">
        <v>60</v>
      </c>
      <c r="AN5" s="231" t="s">
        <v>44</v>
      </c>
      <c r="AO5" s="232" t="s">
        <v>61</v>
      </c>
      <c r="AP5" s="233" t="s">
        <v>28</v>
      </c>
      <c r="AQ5" s="233" t="s">
        <v>29</v>
      </c>
      <c r="AR5" s="233" t="s">
        <v>30</v>
      </c>
      <c r="AS5" s="233" t="s">
        <v>31</v>
      </c>
      <c r="AT5" s="233" t="s">
        <v>32</v>
      </c>
      <c r="AU5" s="233" t="s">
        <v>33</v>
      </c>
      <c r="AV5" s="233" t="s">
        <v>34</v>
      </c>
      <c r="AW5" s="233" t="s">
        <v>35</v>
      </c>
      <c r="AX5" s="233" t="s">
        <v>36</v>
      </c>
      <c r="AY5" s="233" t="s">
        <v>37</v>
      </c>
      <c r="AZ5" s="233" t="s">
        <v>38</v>
      </c>
      <c r="BA5" s="233" t="s">
        <v>39</v>
      </c>
      <c r="BB5" s="228" t="s">
        <v>40</v>
      </c>
      <c r="BC5" s="228" t="s">
        <v>45</v>
      </c>
      <c r="BD5" s="228" t="s">
        <v>526</v>
      </c>
      <c r="BE5" s="228" t="s">
        <v>504</v>
      </c>
      <c r="BF5" s="228" t="s">
        <v>512</v>
      </c>
      <c r="BG5" s="228" t="s">
        <v>3</v>
      </c>
      <c r="BH5" s="228" t="s">
        <v>56</v>
      </c>
    </row>
    <row r="6" spans="1:60" ht="58" x14ac:dyDescent="0.35">
      <c r="A6" s="46" t="s">
        <v>62</v>
      </c>
      <c r="B6" s="41" t="s">
        <v>63</v>
      </c>
      <c r="C6" s="41" t="s">
        <v>68</v>
      </c>
      <c r="D6" s="48"/>
      <c r="E6" s="48" t="s">
        <v>603</v>
      </c>
      <c r="F6" s="48"/>
      <c r="G6" s="48" t="s">
        <v>604</v>
      </c>
      <c r="H6" s="57" t="s">
        <v>605</v>
      </c>
      <c r="I6" s="57">
        <v>2</v>
      </c>
      <c r="J6" s="57" t="s">
        <v>555</v>
      </c>
      <c r="K6" s="57" t="s">
        <v>556</v>
      </c>
      <c r="L6" s="57"/>
      <c r="M6" s="57"/>
      <c r="N6" s="57">
        <v>2</v>
      </c>
      <c r="O6" s="57"/>
      <c r="P6" s="57">
        <v>2</v>
      </c>
      <c r="Q6" s="234"/>
      <c r="R6" s="235"/>
      <c r="S6" s="235"/>
      <c r="T6" s="235"/>
      <c r="U6" s="234"/>
      <c r="V6" s="234"/>
      <c r="W6" s="48" t="s">
        <v>606</v>
      </c>
      <c r="X6" s="48" t="s">
        <v>607</v>
      </c>
      <c r="Y6" s="57" t="s">
        <v>65</v>
      </c>
      <c r="Z6" s="57" t="s">
        <v>65</v>
      </c>
      <c r="AA6" s="37"/>
      <c r="AB6" s="41" t="s">
        <v>608</v>
      </c>
      <c r="AC6" s="41" t="s">
        <v>609</v>
      </c>
      <c r="AD6" s="42">
        <v>45170</v>
      </c>
      <c r="AE6" s="258">
        <v>45289</v>
      </c>
      <c r="AF6" s="41" t="s">
        <v>477</v>
      </c>
      <c r="AG6" s="8" t="s">
        <v>86</v>
      </c>
      <c r="AH6" s="57">
        <v>2</v>
      </c>
      <c r="AI6" s="48" t="s">
        <v>555</v>
      </c>
      <c r="AJ6" s="41" t="s">
        <v>610</v>
      </c>
      <c r="AK6" s="53"/>
      <c r="AL6" s="55"/>
      <c r="AM6" s="55"/>
      <c r="AN6" s="53">
        <v>2</v>
      </c>
      <c r="AO6" s="53">
        <v>2</v>
      </c>
      <c r="AP6" s="55"/>
      <c r="AQ6" s="55"/>
      <c r="AR6" s="55"/>
      <c r="AS6" s="69"/>
      <c r="AT6" s="69"/>
      <c r="AU6" s="69"/>
      <c r="AV6" s="69"/>
      <c r="AW6" s="69"/>
      <c r="AX6" s="69"/>
      <c r="AY6" s="69"/>
      <c r="AZ6" s="69"/>
      <c r="BA6" s="69"/>
      <c r="BB6" s="55"/>
      <c r="BC6" s="25"/>
      <c r="BD6" s="25"/>
      <c r="BE6" s="8" t="s">
        <v>505</v>
      </c>
      <c r="BF6" s="8" t="s">
        <v>92</v>
      </c>
      <c r="BG6" s="28" t="s">
        <v>93</v>
      </c>
      <c r="BH6" s="28" t="s">
        <v>93</v>
      </c>
    </row>
    <row r="7" spans="1:60" ht="87" x14ac:dyDescent="0.35">
      <c r="A7" s="46" t="s">
        <v>62</v>
      </c>
      <c r="B7" s="41" t="s">
        <v>63</v>
      </c>
      <c r="C7" s="41" t="s">
        <v>68</v>
      </c>
      <c r="D7" s="48"/>
      <c r="E7" s="48" t="s">
        <v>603</v>
      </c>
      <c r="F7" s="48"/>
      <c r="G7" s="48" t="s">
        <v>604</v>
      </c>
      <c r="H7" s="57" t="s">
        <v>605</v>
      </c>
      <c r="I7" s="57">
        <v>2</v>
      </c>
      <c r="J7" s="57" t="s">
        <v>555</v>
      </c>
      <c r="K7" s="57" t="s">
        <v>556</v>
      </c>
      <c r="L7" s="57">
        <v>2</v>
      </c>
      <c r="M7" s="57"/>
      <c r="N7" s="57"/>
      <c r="O7" s="57"/>
      <c r="P7" s="57">
        <v>2</v>
      </c>
      <c r="Q7" s="234"/>
      <c r="R7" s="235"/>
      <c r="S7" s="235"/>
      <c r="T7" s="235"/>
      <c r="U7" s="234"/>
      <c r="V7" s="234"/>
      <c r="W7" s="48" t="s">
        <v>606</v>
      </c>
      <c r="X7" s="48" t="s">
        <v>607</v>
      </c>
      <c r="Y7" s="57" t="s">
        <v>65</v>
      </c>
      <c r="Z7" s="57" t="s">
        <v>65</v>
      </c>
      <c r="AA7" s="47"/>
      <c r="AB7" s="41" t="s">
        <v>611</v>
      </c>
      <c r="AC7" s="48" t="s">
        <v>612</v>
      </c>
      <c r="AD7" s="42">
        <v>45293</v>
      </c>
      <c r="AE7" s="258">
        <v>45378</v>
      </c>
      <c r="AF7" s="48" t="s">
        <v>613</v>
      </c>
      <c r="AG7" s="48" t="s">
        <v>614</v>
      </c>
      <c r="AH7" s="57">
        <v>3</v>
      </c>
      <c r="AI7" s="48" t="s">
        <v>555</v>
      </c>
      <c r="AJ7" s="48" t="s">
        <v>615</v>
      </c>
      <c r="AK7" s="237">
        <v>3</v>
      </c>
      <c r="AL7" s="238"/>
      <c r="AM7" s="238"/>
      <c r="AN7" s="238"/>
      <c r="AO7" s="237">
        <v>3</v>
      </c>
      <c r="AP7" s="238"/>
      <c r="AQ7" s="238"/>
      <c r="AR7" s="238"/>
      <c r="AS7" s="239"/>
      <c r="AT7" s="239"/>
      <c r="AU7" s="239"/>
      <c r="AV7" s="239"/>
      <c r="AW7" s="239"/>
      <c r="AX7" s="239"/>
      <c r="AY7" s="239"/>
      <c r="AZ7" s="239"/>
      <c r="BA7" s="239"/>
      <c r="BB7" s="238"/>
      <c r="BC7" s="68"/>
      <c r="BD7" s="68"/>
      <c r="BE7" s="8" t="s">
        <v>505</v>
      </c>
      <c r="BF7" s="8" t="s">
        <v>92</v>
      </c>
      <c r="BG7" s="240" t="s">
        <v>616</v>
      </c>
      <c r="BH7" s="28" t="s">
        <v>93</v>
      </c>
    </row>
    <row r="8" spans="1:60" ht="58" x14ac:dyDescent="0.35">
      <c r="A8" s="54"/>
      <c r="B8" s="54"/>
      <c r="C8" s="41"/>
      <c r="D8" s="241"/>
      <c r="E8" s="41"/>
      <c r="F8" s="241"/>
      <c r="G8" s="241"/>
      <c r="H8" s="8"/>
      <c r="I8" s="8"/>
      <c r="J8" s="8"/>
      <c r="K8" s="8"/>
      <c r="L8" s="8"/>
      <c r="M8" s="8"/>
      <c r="N8" s="8"/>
      <c r="O8" s="8"/>
      <c r="P8" s="8"/>
      <c r="Q8" s="36"/>
      <c r="R8" s="20"/>
      <c r="S8" s="20"/>
      <c r="T8" s="20"/>
      <c r="U8" s="36"/>
      <c r="V8" s="242"/>
      <c r="W8" s="48" t="s">
        <v>606</v>
      </c>
      <c r="X8" s="48" t="s">
        <v>607</v>
      </c>
      <c r="Y8" s="57" t="s">
        <v>65</v>
      </c>
      <c r="Z8" s="57" t="s">
        <v>65</v>
      </c>
      <c r="AA8" s="37"/>
      <c r="AB8" s="41" t="s">
        <v>617</v>
      </c>
      <c r="AC8" s="243" t="s">
        <v>618</v>
      </c>
      <c r="AD8" s="42">
        <v>45293</v>
      </c>
      <c r="AE8" s="258">
        <v>45378</v>
      </c>
      <c r="AF8" s="41" t="s">
        <v>619</v>
      </c>
      <c r="AG8" s="41" t="s">
        <v>99</v>
      </c>
      <c r="AH8" s="57">
        <v>2</v>
      </c>
      <c r="AI8" s="48" t="s">
        <v>555</v>
      </c>
      <c r="AJ8" s="41" t="s">
        <v>610</v>
      </c>
      <c r="AK8" s="53">
        <v>2</v>
      </c>
      <c r="AL8" s="55"/>
      <c r="AM8" s="55"/>
      <c r="AN8" s="55"/>
      <c r="AO8" s="53">
        <v>2</v>
      </c>
      <c r="AP8" s="55"/>
      <c r="AQ8" s="55"/>
      <c r="AR8" s="55"/>
      <c r="AS8" s="69"/>
      <c r="AT8" s="69"/>
      <c r="AU8" s="69"/>
      <c r="AV8" s="69"/>
      <c r="AW8" s="69"/>
      <c r="AX8" s="69"/>
      <c r="AY8" s="69"/>
      <c r="AZ8" s="69"/>
      <c r="BA8" s="69"/>
      <c r="BB8" s="55"/>
      <c r="BC8" s="17"/>
      <c r="BD8" s="17"/>
      <c r="BE8" s="8" t="s">
        <v>505</v>
      </c>
      <c r="BF8" s="8" t="s">
        <v>92</v>
      </c>
      <c r="BG8" s="240" t="s">
        <v>620</v>
      </c>
      <c r="BH8" s="28" t="s">
        <v>93</v>
      </c>
    </row>
    <row r="9" spans="1:60" s="187" customFormat="1" ht="145" x14ac:dyDescent="0.35">
      <c r="A9" s="46" t="s">
        <v>62</v>
      </c>
      <c r="B9" s="41" t="s">
        <v>63</v>
      </c>
      <c r="C9" s="41" t="s">
        <v>68</v>
      </c>
      <c r="D9" s="259"/>
      <c r="E9" s="48" t="s">
        <v>621</v>
      </c>
      <c r="F9" s="259"/>
      <c r="G9" s="48" t="s">
        <v>604</v>
      </c>
      <c r="H9" s="57" t="s">
        <v>605</v>
      </c>
      <c r="I9" s="57">
        <v>2</v>
      </c>
      <c r="J9" s="57" t="s">
        <v>555</v>
      </c>
      <c r="K9" s="57" t="s">
        <v>622</v>
      </c>
      <c r="L9" s="57"/>
      <c r="M9" s="57"/>
      <c r="N9" s="57">
        <v>2</v>
      </c>
      <c r="O9" s="57"/>
      <c r="P9" s="57">
        <v>2</v>
      </c>
      <c r="Q9" s="180"/>
      <c r="R9" s="181"/>
      <c r="S9" s="181"/>
      <c r="T9" s="181"/>
      <c r="U9" s="180"/>
      <c r="V9" s="260"/>
      <c r="W9" s="48" t="s">
        <v>606</v>
      </c>
      <c r="X9" s="48" t="s">
        <v>623</v>
      </c>
      <c r="Y9" s="57" t="s">
        <v>65</v>
      </c>
      <c r="Z9" s="57" t="s">
        <v>65</v>
      </c>
      <c r="AA9" s="37"/>
      <c r="AB9" s="261" t="s">
        <v>624</v>
      </c>
      <c r="AC9" s="262" t="s">
        <v>625</v>
      </c>
      <c r="AD9" s="42">
        <v>45139</v>
      </c>
      <c r="AE9" s="258">
        <v>45198</v>
      </c>
      <c r="AF9" s="41" t="s">
        <v>626</v>
      </c>
      <c r="AG9" s="48" t="s">
        <v>627</v>
      </c>
      <c r="AH9" s="57">
        <v>2</v>
      </c>
      <c r="AI9" s="48" t="s">
        <v>628</v>
      </c>
      <c r="AJ9" s="48" t="s">
        <v>610</v>
      </c>
      <c r="AK9" s="237"/>
      <c r="AL9" s="238"/>
      <c r="AM9" s="236">
        <v>2</v>
      </c>
      <c r="AN9" s="238"/>
      <c r="AO9" s="236">
        <v>2</v>
      </c>
      <c r="AP9" s="182"/>
      <c r="AQ9" s="182"/>
      <c r="AR9" s="182"/>
      <c r="AS9" s="191"/>
      <c r="AT9" s="191"/>
      <c r="AU9" s="191"/>
      <c r="AV9" s="191"/>
      <c r="AW9" s="191"/>
      <c r="AX9" s="191"/>
      <c r="AY9" s="191"/>
      <c r="AZ9" s="191"/>
      <c r="BA9" s="191"/>
      <c r="BB9" s="182"/>
      <c r="BC9" s="175"/>
      <c r="BD9" s="175"/>
      <c r="BE9" s="28" t="s">
        <v>308</v>
      </c>
      <c r="BF9" s="28" t="s">
        <v>511</v>
      </c>
      <c r="BG9" s="28" t="s">
        <v>629</v>
      </c>
      <c r="BH9" s="28" t="s">
        <v>630</v>
      </c>
    </row>
    <row r="10" spans="1:60" s="187" customFormat="1" ht="116" x14ac:dyDescent="0.35">
      <c r="A10" s="54"/>
      <c r="B10" s="54"/>
      <c r="C10" s="41"/>
      <c r="D10" s="259"/>
      <c r="E10" s="41"/>
      <c r="F10" s="259"/>
      <c r="G10" s="259"/>
      <c r="H10" s="8"/>
      <c r="I10" s="8"/>
      <c r="J10" s="8"/>
      <c r="K10" s="8"/>
      <c r="L10" s="8"/>
      <c r="M10" s="8"/>
      <c r="N10" s="8"/>
      <c r="O10" s="8"/>
      <c r="P10" s="8"/>
      <c r="Q10" s="180"/>
      <c r="R10" s="181"/>
      <c r="S10" s="181"/>
      <c r="T10" s="181"/>
      <c r="U10" s="180"/>
      <c r="V10" s="260"/>
      <c r="W10" s="48" t="s">
        <v>606</v>
      </c>
      <c r="X10" s="48" t="s">
        <v>623</v>
      </c>
      <c r="Y10" s="57" t="s">
        <v>65</v>
      </c>
      <c r="Z10" s="57" t="s">
        <v>65</v>
      </c>
      <c r="AA10" s="37"/>
      <c r="AB10" s="263" t="s">
        <v>631</v>
      </c>
      <c r="AC10" s="263" t="s">
        <v>632</v>
      </c>
      <c r="AD10" s="42">
        <v>45139</v>
      </c>
      <c r="AE10" s="258">
        <v>45289</v>
      </c>
      <c r="AF10" s="41" t="s">
        <v>626</v>
      </c>
      <c r="AG10" s="48" t="s">
        <v>627</v>
      </c>
      <c r="AH10" s="57">
        <v>4</v>
      </c>
      <c r="AI10" s="48" t="s">
        <v>628</v>
      </c>
      <c r="AJ10" s="48" t="s">
        <v>610</v>
      </c>
      <c r="AK10" s="53"/>
      <c r="AL10" s="55"/>
      <c r="AM10" s="236">
        <v>2</v>
      </c>
      <c r="AN10" s="236">
        <v>2</v>
      </c>
      <c r="AO10" s="236">
        <v>4</v>
      </c>
      <c r="AP10" s="182"/>
      <c r="AQ10" s="182"/>
      <c r="AR10" s="182"/>
      <c r="AS10" s="191"/>
      <c r="AT10" s="191"/>
      <c r="AU10" s="191"/>
      <c r="AV10" s="191"/>
      <c r="AW10" s="191"/>
      <c r="AX10" s="191"/>
      <c r="AY10" s="191"/>
      <c r="AZ10" s="191"/>
      <c r="BA10" s="191"/>
      <c r="BB10" s="182"/>
      <c r="BC10" s="175"/>
      <c r="BD10" s="175"/>
      <c r="BE10" s="8" t="s">
        <v>308</v>
      </c>
      <c r="BF10" s="8" t="s">
        <v>511</v>
      </c>
      <c r="BG10" s="28" t="s">
        <v>633</v>
      </c>
      <c r="BH10" s="28" t="s">
        <v>630</v>
      </c>
    </row>
    <row r="11" spans="1:60" ht="43.5" x14ac:dyDescent="0.35">
      <c r="A11" s="54"/>
      <c r="B11" s="54"/>
      <c r="C11" s="41"/>
      <c r="D11" s="259"/>
      <c r="E11" s="41"/>
      <c r="F11" s="259"/>
      <c r="G11" s="259"/>
      <c r="H11" s="8"/>
      <c r="I11" s="8"/>
      <c r="J11" s="8"/>
      <c r="K11" s="8"/>
      <c r="L11" s="8"/>
      <c r="M11" s="8"/>
      <c r="N11" s="8"/>
      <c r="O11" s="8"/>
      <c r="P11" s="8"/>
      <c r="Q11" s="36"/>
      <c r="R11" s="20"/>
      <c r="S11" s="20"/>
      <c r="T11" s="20"/>
      <c r="U11" s="36"/>
      <c r="V11" s="26"/>
      <c r="W11" s="48" t="s">
        <v>606</v>
      </c>
      <c r="X11" s="48" t="s">
        <v>623</v>
      </c>
      <c r="Y11" s="57" t="s">
        <v>65</v>
      </c>
      <c r="Z11" s="57" t="s">
        <v>65</v>
      </c>
      <c r="AA11" s="37"/>
      <c r="AB11" s="41" t="s">
        <v>608</v>
      </c>
      <c r="AC11" s="41" t="s">
        <v>609</v>
      </c>
      <c r="AD11" s="42">
        <v>45170</v>
      </c>
      <c r="AE11" s="258">
        <v>45289</v>
      </c>
      <c r="AF11" s="41" t="s">
        <v>477</v>
      </c>
      <c r="AG11" s="8" t="s">
        <v>86</v>
      </c>
      <c r="AH11" s="57">
        <v>2</v>
      </c>
      <c r="AI11" s="48" t="s">
        <v>555</v>
      </c>
      <c r="AJ11" s="48" t="s">
        <v>610</v>
      </c>
      <c r="AK11" s="53"/>
      <c r="AL11" s="55"/>
      <c r="AM11" s="55"/>
      <c r="AN11" s="53">
        <v>2</v>
      </c>
      <c r="AO11" s="53">
        <v>2</v>
      </c>
      <c r="AP11" s="55"/>
      <c r="AQ11" s="55"/>
      <c r="AR11" s="55"/>
      <c r="AS11" s="69"/>
      <c r="AT11" s="69"/>
      <c r="AU11" s="69"/>
      <c r="AV11" s="69"/>
      <c r="AW11" s="69"/>
      <c r="AX11" s="69"/>
      <c r="AY11" s="69"/>
      <c r="AZ11" s="69"/>
      <c r="BA11" s="69"/>
      <c r="BB11" s="55"/>
      <c r="BC11" s="25"/>
      <c r="BD11" s="25"/>
      <c r="BE11" s="8" t="s">
        <v>308</v>
      </c>
      <c r="BF11" s="8" t="s">
        <v>511</v>
      </c>
      <c r="BG11" s="29" t="s">
        <v>634</v>
      </c>
      <c r="BH11" s="29" t="s">
        <v>630</v>
      </c>
    </row>
    <row r="12" spans="1:60" ht="87" x14ac:dyDescent="0.35">
      <c r="A12" s="46" t="s">
        <v>62</v>
      </c>
      <c r="B12" s="41" t="s">
        <v>63</v>
      </c>
      <c r="C12" s="41" t="s">
        <v>68</v>
      </c>
      <c r="D12" s="259"/>
      <c r="E12" s="48" t="s">
        <v>621</v>
      </c>
      <c r="F12" s="259"/>
      <c r="G12" s="48" t="s">
        <v>604</v>
      </c>
      <c r="H12" s="57" t="s">
        <v>605</v>
      </c>
      <c r="I12" s="57">
        <v>2</v>
      </c>
      <c r="J12" s="57" t="s">
        <v>555</v>
      </c>
      <c r="K12" s="57" t="s">
        <v>622</v>
      </c>
      <c r="L12" s="8">
        <v>2</v>
      </c>
      <c r="M12" s="8"/>
      <c r="N12" s="8"/>
      <c r="O12" s="8"/>
      <c r="P12" s="8">
        <v>2</v>
      </c>
      <c r="Q12" s="36"/>
      <c r="R12" s="20"/>
      <c r="S12" s="20"/>
      <c r="T12" s="20"/>
      <c r="U12" s="36"/>
      <c r="V12" s="26"/>
      <c r="W12" s="48" t="s">
        <v>606</v>
      </c>
      <c r="X12" s="48" t="s">
        <v>623</v>
      </c>
      <c r="Y12" s="57" t="s">
        <v>65</v>
      </c>
      <c r="Z12" s="57" t="s">
        <v>65</v>
      </c>
      <c r="AA12" s="37"/>
      <c r="AB12" s="171" t="s">
        <v>611</v>
      </c>
      <c r="AC12" s="48" t="s">
        <v>612</v>
      </c>
      <c r="AD12" s="42">
        <v>45293</v>
      </c>
      <c r="AE12" s="258">
        <v>45378</v>
      </c>
      <c r="AF12" s="48" t="s">
        <v>613</v>
      </c>
      <c r="AG12" s="48" t="s">
        <v>614</v>
      </c>
      <c r="AH12" s="57">
        <v>3</v>
      </c>
      <c r="AI12" s="48" t="s">
        <v>555</v>
      </c>
      <c r="AJ12" s="48" t="s">
        <v>615</v>
      </c>
      <c r="AK12" s="237">
        <v>3</v>
      </c>
      <c r="AL12" s="238"/>
      <c r="AM12" s="238"/>
      <c r="AN12" s="238"/>
      <c r="AO12" s="237">
        <v>3</v>
      </c>
      <c r="AP12" s="55"/>
      <c r="AQ12" s="55"/>
      <c r="AR12" s="55"/>
      <c r="AS12" s="69"/>
      <c r="AT12" s="69"/>
      <c r="AU12" s="69"/>
      <c r="AV12" s="69"/>
      <c r="AW12" s="69"/>
      <c r="AX12" s="69"/>
      <c r="AY12" s="69"/>
      <c r="AZ12" s="69"/>
      <c r="BA12" s="69"/>
      <c r="BB12" s="55"/>
      <c r="BC12" s="25"/>
      <c r="BD12" s="25"/>
      <c r="BE12" s="8" t="s">
        <v>308</v>
      </c>
      <c r="BF12" s="8" t="s">
        <v>511</v>
      </c>
      <c r="BG12" s="29" t="s">
        <v>635</v>
      </c>
      <c r="BH12" s="29" t="s">
        <v>630</v>
      </c>
    </row>
    <row r="13" spans="1:60" ht="43.5" x14ac:dyDescent="0.35">
      <c r="A13" s="54"/>
      <c r="B13" s="54"/>
      <c r="C13" s="41"/>
      <c r="D13" s="259"/>
      <c r="E13" s="41"/>
      <c r="F13" s="259"/>
      <c r="G13" s="259"/>
      <c r="H13" s="8"/>
      <c r="I13" s="8"/>
      <c r="J13" s="8"/>
      <c r="K13" s="8"/>
      <c r="L13" s="8"/>
      <c r="M13" s="8"/>
      <c r="N13" s="8"/>
      <c r="O13" s="8"/>
      <c r="P13" s="8"/>
      <c r="Q13" s="36"/>
      <c r="R13" s="20"/>
      <c r="S13" s="20"/>
      <c r="T13" s="20"/>
      <c r="U13" s="36"/>
      <c r="V13" s="26"/>
      <c r="W13" s="48" t="s">
        <v>606</v>
      </c>
      <c r="X13" s="48" t="s">
        <v>623</v>
      </c>
      <c r="Y13" s="57" t="s">
        <v>65</v>
      </c>
      <c r="Z13" s="57" t="s">
        <v>65</v>
      </c>
      <c r="AA13" s="37"/>
      <c r="AB13" s="41" t="s">
        <v>617</v>
      </c>
      <c r="AC13" s="243" t="s">
        <v>618</v>
      </c>
      <c r="AD13" s="42">
        <v>45293</v>
      </c>
      <c r="AE13" s="258">
        <v>45378</v>
      </c>
      <c r="AF13" s="41" t="s">
        <v>619</v>
      </c>
      <c r="AG13" s="41" t="s">
        <v>99</v>
      </c>
      <c r="AH13" s="57">
        <v>2</v>
      </c>
      <c r="AI13" s="48" t="s">
        <v>555</v>
      </c>
      <c r="AJ13" s="48" t="s">
        <v>610</v>
      </c>
      <c r="AK13" s="53">
        <v>2</v>
      </c>
      <c r="AL13" s="55"/>
      <c r="AM13" s="55"/>
      <c r="AN13" s="55"/>
      <c r="AO13" s="53">
        <v>2</v>
      </c>
      <c r="AP13" s="55"/>
      <c r="AQ13" s="55"/>
      <c r="AR13" s="55"/>
      <c r="AS13" s="69"/>
      <c r="AT13" s="69"/>
      <c r="AU13" s="69"/>
      <c r="AV13" s="69"/>
      <c r="AW13" s="69"/>
      <c r="AX13" s="69"/>
      <c r="AY13" s="69"/>
      <c r="AZ13" s="69"/>
      <c r="BA13" s="69"/>
      <c r="BB13" s="55"/>
      <c r="BC13" s="25"/>
      <c r="BD13" s="25"/>
      <c r="BE13" s="8" t="s">
        <v>308</v>
      </c>
      <c r="BF13" s="8" t="s">
        <v>511</v>
      </c>
      <c r="BG13" s="29" t="s">
        <v>634</v>
      </c>
      <c r="BH13" s="29" t="s">
        <v>630</v>
      </c>
    </row>
    <row r="14" spans="1:60" ht="43.5" x14ac:dyDescent="0.35">
      <c r="A14" s="46" t="s">
        <v>321</v>
      </c>
      <c r="B14" s="48" t="s">
        <v>322</v>
      </c>
      <c r="C14" s="41" t="s">
        <v>323</v>
      </c>
      <c r="D14" s="241"/>
      <c r="E14" s="48" t="s">
        <v>636</v>
      </c>
      <c r="F14" s="241"/>
      <c r="G14" s="48" t="s">
        <v>604</v>
      </c>
      <c r="H14" s="57" t="s">
        <v>605</v>
      </c>
      <c r="I14" s="57">
        <v>2</v>
      </c>
      <c r="J14" s="57" t="s">
        <v>555</v>
      </c>
      <c r="K14" s="57" t="s">
        <v>556</v>
      </c>
      <c r="L14" s="8"/>
      <c r="M14" s="8"/>
      <c r="N14" s="8">
        <v>2</v>
      </c>
      <c r="O14" s="8"/>
      <c r="P14" s="8">
        <v>2</v>
      </c>
      <c r="Q14" s="36"/>
      <c r="R14" s="20"/>
      <c r="S14" s="20"/>
      <c r="T14" s="20"/>
      <c r="U14" s="36"/>
      <c r="V14" s="242"/>
      <c r="W14" s="41" t="s">
        <v>160</v>
      </c>
      <c r="X14" s="41" t="s">
        <v>584</v>
      </c>
      <c r="Y14" s="57" t="s">
        <v>65</v>
      </c>
      <c r="Z14" s="57" t="s">
        <v>65</v>
      </c>
      <c r="AA14" s="37"/>
      <c r="AB14" s="264" t="s">
        <v>637</v>
      </c>
      <c r="AC14" s="48" t="s">
        <v>638</v>
      </c>
      <c r="AD14" s="42">
        <v>45139</v>
      </c>
      <c r="AE14" s="258">
        <v>45198</v>
      </c>
      <c r="AF14" s="48" t="s">
        <v>604</v>
      </c>
      <c r="AG14" s="48" t="s">
        <v>605</v>
      </c>
      <c r="AH14" s="57">
        <v>2</v>
      </c>
      <c r="AI14" s="48" t="s">
        <v>555</v>
      </c>
      <c r="AJ14" s="210" t="s">
        <v>610</v>
      </c>
      <c r="AK14" s="237"/>
      <c r="AL14" s="238"/>
      <c r="AM14" s="53">
        <v>2</v>
      </c>
      <c r="AN14" s="238"/>
      <c r="AO14" s="53">
        <v>2</v>
      </c>
      <c r="AP14" s="55"/>
      <c r="AQ14" s="55"/>
      <c r="AR14" s="55"/>
      <c r="AS14" s="69"/>
      <c r="AT14" s="69"/>
      <c r="AU14" s="69"/>
      <c r="AV14" s="69"/>
      <c r="AW14" s="69"/>
      <c r="AX14" s="69"/>
      <c r="AY14" s="69"/>
      <c r="AZ14" s="69"/>
      <c r="BA14" s="69"/>
      <c r="BB14" s="55"/>
      <c r="BC14" s="17"/>
      <c r="BD14" s="17"/>
      <c r="BE14" s="28" t="s">
        <v>308</v>
      </c>
      <c r="BF14" s="8" t="s">
        <v>329</v>
      </c>
      <c r="BG14" s="28" t="s">
        <v>639</v>
      </c>
      <c r="BH14" s="28" t="s">
        <v>640</v>
      </c>
    </row>
    <row r="15" spans="1:60" s="187" customFormat="1" ht="87" x14ac:dyDescent="0.35">
      <c r="A15" s="46"/>
      <c r="B15" s="48"/>
      <c r="C15" s="41"/>
      <c r="D15" s="259"/>
      <c r="E15" s="48"/>
      <c r="F15" s="259"/>
      <c r="G15" s="48"/>
      <c r="H15" s="57"/>
      <c r="I15" s="57"/>
      <c r="J15" s="57"/>
      <c r="K15" s="57"/>
      <c r="L15" s="8"/>
      <c r="M15" s="8"/>
      <c r="N15" s="8"/>
      <c r="O15" s="8"/>
      <c r="P15" s="8"/>
      <c r="Q15" s="180"/>
      <c r="R15" s="181"/>
      <c r="S15" s="181"/>
      <c r="T15" s="181"/>
      <c r="U15" s="180"/>
      <c r="V15" s="260"/>
      <c r="W15" s="41" t="s">
        <v>160</v>
      </c>
      <c r="X15" s="41" t="s">
        <v>584</v>
      </c>
      <c r="Y15" s="57" t="s">
        <v>65</v>
      </c>
      <c r="Z15" s="57" t="s">
        <v>65</v>
      </c>
      <c r="AA15" s="37"/>
      <c r="AB15" s="48" t="s">
        <v>641</v>
      </c>
      <c r="AC15" s="48" t="s">
        <v>642</v>
      </c>
      <c r="AD15" s="42">
        <v>45139</v>
      </c>
      <c r="AE15" s="258">
        <v>45289</v>
      </c>
      <c r="AF15" s="41" t="s">
        <v>477</v>
      </c>
      <c r="AG15" s="265" t="s">
        <v>86</v>
      </c>
      <c r="AH15" s="57">
        <v>2</v>
      </c>
      <c r="AI15" s="48" t="s">
        <v>555</v>
      </c>
      <c r="AJ15" s="48" t="s">
        <v>610</v>
      </c>
      <c r="AK15" s="237"/>
      <c r="AL15" s="238"/>
      <c r="AM15" s="53"/>
      <c r="AN15" s="53">
        <v>2</v>
      </c>
      <c r="AO15" s="53">
        <v>2</v>
      </c>
      <c r="AP15" s="190" t="s">
        <v>308</v>
      </c>
      <c r="AQ15" s="173" t="s">
        <v>329</v>
      </c>
      <c r="AR15" s="190" t="s">
        <v>643</v>
      </c>
      <c r="AS15" s="190" t="s">
        <v>644</v>
      </c>
      <c r="AT15" s="191"/>
      <c r="AU15" s="191"/>
      <c r="AV15" s="191"/>
      <c r="AW15" s="191"/>
      <c r="AX15" s="191"/>
      <c r="AY15" s="191"/>
      <c r="AZ15" s="191"/>
      <c r="BA15" s="191"/>
      <c r="BB15" s="182"/>
      <c r="BC15" s="175"/>
      <c r="BD15" s="175"/>
      <c r="BE15" s="28" t="s">
        <v>308</v>
      </c>
      <c r="BF15" s="8" t="s">
        <v>329</v>
      </c>
      <c r="BG15" s="28" t="s">
        <v>643</v>
      </c>
      <c r="BH15" s="28" t="s">
        <v>640</v>
      </c>
    </row>
    <row r="16" spans="1:60" s="187" customFormat="1" ht="87" x14ac:dyDescent="0.35">
      <c r="A16" s="46"/>
      <c r="B16" s="48"/>
      <c r="C16" s="41"/>
      <c r="D16" s="259"/>
      <c r="E16" s="48"/>
      <c r="F16" s="259"/>
      <c r="G16" s="48"/>
      <c r="H16" s="57"/>
      <c r="I16" s="57"/>
      <c r="J16" s="57"/>
      <c r="K16" s="57"/>
      <c r="L16" s="8"/>
      <c r="M16" s="8"/>
      <c r="N16" s="8"/>
      <c r="O16" s="8"/>
      <c r="P16" s="8"/>
      <c r="Q16" s="180"/>
      <c r="R16" s="181"/>
      <c r="S16" s="181"/>
      <c r="T16" s="181"/>
      <c r="U16" s="180"/>
      <c r="V16" s="260"/>
      <c r="W16" s="41" t="s">
        <v>160</v>
      </c>
      <c r="X16" s="41" t="s">
        <v>584</v>
      </c>
      <c r="Y16" s="57" t="s">
        <v>65</v>
      </c>
      <c r="Z16" s="57" t="s">
        <v>65</v>
      </c>
      <c r="AA16" s="37"/>
      <c r="AB16" s="48" t="s">
        <v>645</v>
      </c>
      <c r="AC16" s="48" t="s">
        <v>646</v>
      </c>
      <c r="AD16" s="42">
        <v>45139</v>
      </c>
      <c r="AE16" s="258">
        <v>45289</v>
      </c>
      <c r="AF16" s="41" t="s">
        <v>477</v>
      </c>
      <c r="AG16" s="265" t="s">
        <v>86</v>
      </c>
      <c r="AH16" s="57">
        <v>2</v>
      </c>
      <c r="AI16" s="48" t="s">
        <v>555</v>
      </c>
      <c r="AJ16" s="48" t="s">
        <v>610</v>
      </c>
      <c r="AK16" s="237"/>
      <c r="AL16" s="238"/>
      <c r="AM16" s="53"/>
      <c r="AN16" s="53">
        <v>2</v>
      </c>
      <c r="AO16" s="53">
        <v>2</v>
      </c>
      <c r="AP16" s="190" t="s">
        <v>308</v>
      </c>
      <c r="AQ16" s="173" t="s">
        <v>329</v>
      </c>
      <c r="AR16" s="190" t="s">
        <v>643</v>
      </c>
      <c r="AS16" s="190" t="s">
        <v>644</v>
      </c>
      <c r="AT16" s="191"/>
      <c r="AU16" s="191"/>
      <c r="AV16" s="191"/>
      <c r="AW16" s="191"/>
      <c r="AX16" s="191"/>
      <c r="AY16" s="191"/>
      <c r="AZ16" s="191"/>
      <c r="BA16" s="191"/>
      <c r="BB16" s="182"/>
      <c r="BC16" s="175"/>
      <c r="BD16" s="175"/>
      <c r="BE16" s="28" t="s">
        <v>308</v>
      </c>
      <c r="BF16" s="8" t="s">
        <v>329</v>
      </c>
      <c r="BG16" s="28" t="s">
        <v>643</v>
      </c>
      <c r="BH16" s="28" t="s">
        <v>640</v>
      </c>
    </row>
    <row r="17" spans="1:60" ht="43.5" x14ac:dyDescent="0.35">
      <c r="A17" s="54"/>
      <c r="B17" s="54"/>
      <c r="C17" s="41"/>
      <c r="D17" s="241"/>
      <c r="E17" s="41"/>
      <c r="F17" s="241"/>
      <c r="G17" s="41"/>
      <c r="H17" s="8"/>
      <c r="I17" s="8"/>
      <c r="J17" s="8"/>
      <c r="K17" s="8"/>
      <c r="L17" s="8"/>
      <c r="M17" s="8"/>
      <c r="N17" s="8"/>
      <c r="O17" s="8"/>
      <c r="P17" s="8"/>
      <c r="Q17" s="36"/>
      <c r="R17" s="20"/>
      <c r="S17" s="20"/>
      <c r="T17" s="20"/>
      <c r="U17" s="36"/>
      <c r="V17" s="242"/>
      <c r="W17" s="41" t="s">
        <v>160</v>
      </c>
      <c r="X17" s="41" t="s">
        <v>584</v>
      </c>
      <c r="Y17" s="57" t="s">
        <v>65</v>
      </c>
      <c r="Z17" s="57" t="s">
        <v>65</v>
      </c>
      <c r="AA17" s="37"/>
      <c r="AB17" s="41" t="s">
        <v>608</v>
      </c>
      <c r="AC17" s="41" t="s">
        <v>609</v>
      </c>
      <c r="AD17" s="42">
        <v>45170</v>
      </c>
      <c r="AE17" s="258">
        <v>45289</v>
      </c>
      <c r="AF17" s="41" t="s">
        <v>477</v>
      </c>
      <c r="AG17" s="8" t="s">
        <v>86</v>
      </c>
      <c r="AH17" s="57">
        <v>2</v>
      </c>
      <c r="AI17" s="48" t="s">
        <v>555</v>
      </c>
      <c r="AJ17" s="210" t="s">
        <v>610</v>
      </c>
      <c r="AK17" s="53"/>
      <c r="AL17" s="55"/>
      <c r="AM17" s="55"/>
      <c r="AN17" s="53">
        <v>2</v>
      </c>
      <c r="AO17" s="53">
        <v>2</v>
      </c>
      <c r="AP17" s="55"/>
      <c r="AQ17" s="55"/>
      <c r="AR17" s="55"/>
      <c r="AS17" s="69"/>
      <c r="AT17" s="69"/>
      <c r="AU17" s="69"/>
      <c r="AV17" s="69"/>
      <c r="AW17" s="69"/>
      <c r="AX17" s="69"/>
      <c r="AY17" s="69"/>
      <c r="AZ17" s="69"/>
      <c r="BA17" s="69"/>
      <c r="BB17" s="55"/>
      <c r="BC17" s="17"/>
      <c r="BD17" s="17"/>
      <c r="BE17" s="28" t="s">
        <v>308</v>
      </c>
      <c r="BF17" s="8" t="s">
        <v>329</v>
      </c>
      <c r="BG17" s="28" t="s">
        <v>639</v>
      </c>
      <c r="BH17" s="28" t="s">
        <v>640</v>
      </c>
    </row>
    <row r="18" spans="1:60" ht="43.5" x14ac:dyDescent="0.35">
      <c r="A18" s="46" t="s">
        <v>321</v>
      </c>
      <c r="B18" s="48" t="s">
        <v>322</v>
      </c>
      <c r="C18" s="41" t="s">
        <v>323</v>
      </c>
      <c r="D18" s="241"/>
      <c r="E18" s="48" t="s">
        <v>636</v>
      </c>
      <c r="F18" s="241"/>
      <c r="G18" s="48" t="s">
        <v>604</v>
      </c>
      <c r="H18" s="57" t="s">
        <v>605</v>
      </c>
      <c r="I18" s="57">
        <v>2</v>
      </c>
      <c r="J18" s="57" t="s">
        <v>555</v>
      </c>
      <c r="K18" s="57" t="s">
        <v>556</v>
      </c>
      <c r="L18" s="8">
        <v>2</v>
      </c>
      <c r="M18" s="8"/>
      <c r="N18" s="8"/>
      <c r="O18" s="8"/>
      <c r="P18" s="8">
        <v>2</v>
      </c>
      <c r="Q18" s="36"/>
      <c r="R18" s="20"/>
      <c r="S18" s="20"/>
      <c r="T18" s="20"/>
      <c r="U18" s="36"/>
      <c r="V18" s="242"/>
      <c r="W18" s="41" t="s">
        <v>160</v>
      </c>
      <c r="X18" s="41" t="s">
        <v>584</v>
      </c>
      <c r="Y18" s="57" t="s">
        <v>65</v>
      </c>
      <c r="Z18" s="57" t="s">
        <v>65</v>
      </c>
      <c r="AA18" s="37"/>
      <c r="AB18" s="264" t="s">
        <v>637</v>
      </c>
      <c r="AC18" s="48" t="s">
        <v>638</v>
      </c>
      <c r="AD18" s="42">
        <v>45293</v>
      </c>
      <c r="AE18" s="258">
        <v>45378</v>
      </c>
      <c r="AF18" s="48" t="s">
        <v>604</v>
      </c>
      <c r="AG18" s="48" t="s">
        <v>605</v>
      </c>
      <c r="AH18" s="57">
        <v>2</v>
      </c>
      <c r="AI18" s="48" t="s">
        <v>555</v>
      </c>
      <c r="AJ18" s="210" t="s">
        <v>610</v>
      </c>
      <c r="AK18" s="53">
        <v>2</v>
      </c>
      <c r="AL18" s="55"/>
      <c r="AM18" s="55"/>
      <c r="AN18" s="55"/>
      <c r="AO18" s="53">
        <v>2</v>
      </c>
      <c r="AP18" s="55"/>
      <c r="AQ18" s="55"/>
      <c r="AR18" s="55"/>
      <c r="AS18" s="69"/>
      <c r="AT18" s="69"/>
      <c r="AU18" s="69"/>
      <c r="AV18" s="69"/>
      <c r="AW18" s="69"/>
      <c r="AX18" s="69"/>
      <c r="AY18" s="69"/>
      <c r="AZ18" s="69"/>
      <c r="BA18" s="69"/>
      <c r="BB18" s="55"/>
      <c r="BC18" s="17"/>
      <c r="BD18" s="17"/>
      <c r="BE18" s="28" t="s">
        <v>308</v>
      </c>
      <c r="BF18" s="8" t="s">
        <v>329</v>
      </c>
      <c r="BG18" s="28" t="s">
        <v>639</v>
      </c>
      <c r="BH18" s="28" t="s">
        <v>640</v>
      </c>
    </row>
    <row r="19" spans="1:60" ht="87" x14ac:dyDescent="0.35">
      <c r="A19" s="54"/>
      <c r="B19" s="54"/>
      <c r="C19" s="41"/>
      <c r="D19" s="241"/>
      <c r="E19" s="41"/>
      <c r="F19" s="241"/>
      <c r="G19" s="41"/>
      <c r="H19" s="8"/>
      <c r="I19" s="8"/>
      <c r="J19" s="8"/>
      <c r="K19" s="8"/>
      <c r="L19" s="8"/>
      <c r="M19" s="8"/>
      <c r="N19" s="8"/>
      <c r="O19" s="8"/>
      <c r="P19" s="8"/>
      <c r="Q19" s="36"/>
      <c r="R19" s="20"/>
      <c r="S19" s="20"/>
      <c r="T19" s="20"/>
      <c r="U19" s="36"/>
      <c r="V19" s="242"/>
      <c r="W19" s="41" t="s">
        <v>160</v>
      </c>
      <c r="X19" s="41" t="s">
        <v>584</v>
      </c>
      <c r="Y19" s="57" t="s">
        <v>65</v>
      </c>
      <c r="Z19" s="57" t="s">
        <v>65</v>
      </c>
      <c r="AA19" s="37"/>
      <c r="AB19" s="41" t="s">
        <v>611</v>
      </c>
      <c r="AC19" s="48" t="s">
        <v>612</v>
      </c>
      <c r="AD19" s="42">
        <v>45293</v>
      </c>
      <c r="AE19" s="258">
        <v>45378</v>
      </c>
      <c r="AF19" s="48" t="s">
        <v>613</v>
      </c>
      <c r="AG19" s="48" t="s">
        <v>614</v>
      </c>
      <c r="AH19" s="57">
        <v>3</v>
      </c>
      <c r="AI19" s="48" t="s">
        <v>555</v>
      </c>
      <c r="AJ19" s="48" t="s">
        <v>615</v>
      </c>
      <c r="AK19" s="237">
        <v>3</v>
      </c>
      <c r="AL19" s="238"/>
      <c r="AM19" s="238"/>
      <c r="AN19" s="238"/>
      <c r="AO19" s="237">
        <v>3</v>
      </c>
      <c r="AP19" s="55"/>
      <c r="AQ19" s="55"/>
      <c r="AR19" s="55"/>
      <c r="AS19" s="69"/>
      <c r="AT19" s="69"/>
      <c r="AU19" s="69"/>
      <c r="AV19" s="69"/>
      <c r="AW19" s="69"/>
      <c r="AX19" s="69"/>
      <c r="AY19" s="69"/>
      <c r="AZ19" s="69"/>
      <c r="BA19" s="69"/>
      <c r="BB19" s="55"/>
      <c r="BC19" s="17"/>
      <c r="BD19" s="17"/>
      <c r="BE19" s="28" t="s">
        <v>308</v>
      </c>
      <c r="BF19" s="8" t="s">
        <v>329</v>
      </c>
      <c r="BG19" s="28" t="s">
        <v>647</v>
      </c>
      <c r="BH19" s="28" t="s">
        <v>640</v>
      </c>
    </row>
    <row r="20" spans="1:60" ht="44" thickBot="1" x14ac:dyDescent="0.4">
      <c r="A20" s="54"/>
      <c r="B20" s="54"/>
      <c r="C20" s="41"/>
      <c r="D20" s="241"/>
      <c r="E20" s="41"/>
      <c r="F20" s="241"/>
      <c r="G20" s="241"/>
      <c r="H20" s="8"/>
      <c r="I20" s="8"/>
      <c r="J20" s="8"/>
      <c r="K20" s="8"/>
      <c r="L20" s="8"/>
      <c r="M20" s="8"/>
      <c r="N20" s="8"/>
      <c r="O20" s="8"/>
      <c r="P20" s="8"/>
      <c r="Q20" s="36"/>
      <c r="R20" s="20"/>
      <c r="S20" s="20"/>
      <c r="T20" s="20"/>
      <c r="U20" s="36"/>
      <c r="V20" s="242"/>
      <c r="W20" s="41" t="s">
        <v>160</v>
      </c>
      <c r="X20" s="41" t="s">
        <v>584</v>
      </c>
      <c r="Y20" s="57" t="s">
        <v>65</v>
      </c>
      <c r="Z20" s="57" t="s">
        <v>65</v>
      </c>
      <c r="AA20" s="37"/>
      <c r="AB20" s="41" t="s">
        <v>617</v>
      </c>
      <c r="AC20" s="243" t="s">
        <v>618</v>
      </c>
      <c r="AD20" s="42">
        <v>45293</v>
      </c>
      <c r="AE20" s="258">
        <v>45378</v>
      </c>
      <c r="AF20" s="41" t="s">
        <v>619</v>
      </c>
      <c r="AG20" s="41" t="s">
        <v>99</v>
      </c>
      <c r="AH20" s="57">
        <v>2</v>
      </c>
      <c r="AI20" s="48" t="s">
        <v>555</v>
      </c>
      <c r="AJ20" s="210" t="s">
        <v>610</v>
      </c>
      <c r="AK20" s="53">
        <v>2</v>
      </c>
      <c r="AL20" s="55"/>
      <c r="AM20" s="55"/>
      <c r="AN20" s="55"/>
      <c r="AO20" s="53">
        <v>2</v>
      </c>
      <c r="AP20" s="55"/>
      <c r="AQ20" s="55"/>
      <c r="AR20" s="55"/>
      <c r="AS20" s="69"/>
      <c r="AT20" s="69"/>
      <c r="AU20" s="69"/>
      <c r="AV20" s="69"/>
      <c r="AW20" s="69"/>
      <c r="AX20" s="69"/>
      <c r="AY20" s="69"/>
      <c r="AZ20" s="69"/>
      <c r="BA20" s="69"/>
      <c r="BB20" s="55"/>
      <c r="BC20" s="17"/>
      <c r="BD20" s="17"/>
      <c r="BE20" s="28" t="s">
        <v>308</v>
      </c>
      <c r="BF20" s="8" t="s">
        <v>329</v>
      </c>
      <c r="BG20" s="28" t="s">
        <v>639</v>
      </c>
      <c r="BH20" s="28" t="s">
        <v>640</v>
      </c>
    </row>
    <row r="21" spans="1:60" s="187" customFormat="1" ht="73" thickBot="1" x14ac:dyDescent="0.4">
      <c r="A21" s="46" t="s">
        <v>62</v>
      </c>
      <c r="B21" s="41" t="s">
        <v>63</v>
      </c>
      <c r="C21" s="41" t="s">
        <v>68</v>
      </c>
      <c r="D21" s="259"/>
      <c r="E21" s="48" t="s">
        <v>648</v>
      </c>
      <c r="F21" s="259"/>
      <c r="G21" s="48" t="s">
        <v>604</v>
      </c>
      <c r="H21" s="57" t="s">
        <v>605</v>
      </c>
      <c r="I21" s="57">
        <v>2</v>
      </c>
      <c r="J21" s="57" t="s">
        <v>555</v>
      </c>
      <c r="K21" s="266" t="s">
        <v>649</v>
      </c>
      <c r="L21" s="8"/>
      <c r="M21" s="8"/>
      <c r="N21" s="8">
        <v>2</v>
      </c>
      <c r="O21" s="8"/>
      <c r="P21" s="8">
        <v>2</v>
      </c>
      <c r="Q21" s="180"/>
      <c r="R21" s="181"/>
      <c r="S21" s="181"/>
      <c r="T21" s="181"/>
      <c r="U21" s="180"/>
      <c r="V21" s="260"/>
      <c r="W21" s="41" t="s">
        <v>210</v>
      </c>
      <c r="X21" s="41" t="s">
        <v>70</v>
      </c>
      <c r="Y21" s="57" t="s">
        <v>65</v>
      </c>
      <c r="Z21" s="57" t="s">
        <v>65</v>
      </c>
      <c r="AA21" s="37"/>
      <c r="AB21" s="41" t="s">
        <v>608</v>
      </c>
      <c r="AC21" s="41" t="s">
        <v>609</v>
      </c>
      <c r="AD21" s="42">
        <v>45170</v>
      </c>
      <c r="AE21" s="258">
        <v>45289</v>
      </c>
      <c r="AF21" s="41" t="s">
        <v>477</v>
      </c>
      <c r="AG21" s="8" t="s">
        <v>86</v>
      </c>
      <c r="AH21" s="57">
        <v>2</v>
      </c>
      <c r="AI21" s="48" t="s">
        <v>555</v>
      </c>
      <c r="AJ21" s="41" t="s">
        <v>649</v>
      </c>
      <c r="AK21" s="53"/>
      <c r="AL21" s="55"/>
      <c r="AM21" s="55"/>
      <c r="AN21" s="53">
        <v>2</v>
      </c>
      <c r="AO21" s="53">
        <v>2</v>
      </c>
      <c r="AP21" s="55"/>
      <c r="AQ21" s="55"/>
      <c r="AR21" s="55"/>
      <c r="AS21" s="69"/>
      <c r="AT21" s="69"/>
      <c r="AU21" s="69"/>
      <c r="AV21" s="69"/>
      <c r="AW21" s="69"/>
      <c r="AX21" s="69"/>
      <c r="AY21" s="69"/>
      <c r="AZ21" s="69"/>
      <c r="BA21" s="69"/>
      <c r="BB21" s="55"/>
      <c r="BC21" s="17"/>
      <c r="BD21" s="17"/>
      <c r="BE21" s="8" t="s">
        <v>119</v>
      </c>
      <c r="BF21" s="8" t="s">
        <v>119</v>
      </c>
      <c r="BG21" s="28" t="s">
        <v>650</v>
      </c>
      <c r="BH21" s="8" t="s">
        <v>123</v>
      </c>
    </row>
    <row r="22" spans="1:60" s="187" customFormat="1" ht="102" thickBot="1" x14ac:dyDescent="0.4">
      <c r="A22" s="54"/>
      <c r="B22" s="54"/>
      <c r="C22" s="41"/>
      <c r="D22" s="259"/>
      <c r="E22" s="41"/>
      <c r="F22" s="259"/>
      <c r="G22" s="41"/>
      <c r="H22" s="8"/>
      <c r="I22" s="8"/>
      <c r="J22" s="8"/>
      <c r="K22" s="8"/>
      <c r="L22" s="8"/>
      <c r="M22" s="8"/>
      <c r="N22" s="8"/>
      <c r="O22" s="8"/>
      <c r="P22" s="8"/>
      <c r="Q22" s="180"/>
      <c r="R22" s="181"/>
      <c r="S22" s="181"/>
      <c r="T22" s="181"/>
      <c r="U22" s="180"/>
      <c r="V22" s="260"/>
      <c r="W22" s="41" t="s">
        <v>210</v>
      </c>
      <c r="X22" s="41" t="s">
        <v>70</v>
      </c>
      <c r="Y22" s="57" t="s">
        <v>65</v>
      </c>
      <c r="Z22" s="57" t="s">
        <v>65</v>
      </c>
      <c r="AA22" s="37"/>
      <c r="AB22" s="267" t="s">
        <v>651</v>
      </c>
      <c r="AC22" s="267" t="s">
        <v>652</v>
      </c>
      <c r="AD22" s="268">
        <v>45139</v>
      </c>
      <c r="AE22" s="269">
        <v>45198</v>
      </c>
      <c r="AF22" s="267" t="s">
        <v>653</v>
      </c>
      <c r="AG22" s="266" t="s">
        <v>654</v>
      </c>
      <c r="AH22" s="266">
        <v>2</v>
      </c>
      <c r="AI22" s="267" t="s">
        <v>555</v>
      </c>
      <c r="AJ22" s="267" t="s">
        <v>655</v>
      </c>
      <c r="AK22" s="270"/>
      <c r="AL22" s="271"/>
      <c r="AM22" s="270">
        <v>2</v>
      </c>
      <c r="AN22" s="270"/>
      <c r="AO22" s="270">
        <v>2</v>
      </c>
      <c r="AP22" s="8" t="s">
        <v>308</v>
      </c>
      <c r="AQ22" s="8" t="s">
        <v>510</v>
      </c>
      <c r="AR22" s="272" t="s">
        <v>656</v>
      </c>
      <c r="AS22" s="273" t="s">
        <v>657</v>
      </c>
      <c r="AT22" s="191"/>
      <c r="AU22" s="191"/>
      <c r="AV22" s="191"/>
      <c r="AW22" s="191"/>
      <c r="AX22" s="191"/>
      <c r="AY22" s="191"/>
      <c r="AZ22" s="191"/>
      <c r="BA22" s="191"/>
      <c r="BB22" s="182"/>
      <c r="BC22" s="175"/>
      <c r="BD22" s="175"/>
      <c r="BE22" s="8" t="s">
        <v>119</v>
      </c>
      <c r="BF22" s="8" t="s">
        <v>119</v>
      </c>
      <c r="BG22" s="28" t="s">
        <v>656</v>
      </c>
      <c r="BH22" s="8" t="s">
        <v>123</v>
      </c>
    </row>
    <row r="23" spans="1:60" s="187" customFormat="1" ht="116" x14ac:dyDescent="0.35">
      <c r="A23" s="46"/>
      <c r="B23" s="41"/>
      <c r="C23" s="41"/>
      <c r="D23" s="259"/>
      <c r="E23" s="48"/>
      <c r="F23" s="259"/>
      <c r="G23" s="48"/>
      <c r="H23" s="57"/>
      <c r="I23" s="57"/>
      <c r="J23" s="57"/>
      <c r="K23" s="57"/>
      <c r="L23" s="8"/>
      <c r="M23" s="8"/>
      <c r="N23" s="8"/>
      <c r="O23" s="8"/>
      <c r="P23" s="8"/>
      <c r="Q23" s="180"/>
      <c r="R23" s="181"/>
      <c r="S23" s="181"/>
      <c r="T23" s="181"/>
      <c r="U23" s="180"/>
      <c r="V23" s="260"/>
      <c r="W23" s="41" t="s">
        <v>210</v>
      </c>
      <c r="X23" s="41" t="s">
        <v>70</v>
      </c>
      <c r="Y23" s="57" t="s">
        <v>65</v>
      </c>
      <c r="Z23" s="57" t="s">
        <v>65</v>
      </c>
      <c r="AA23" s="37"/>
      <c r="AB23" s="48" t="s">
        <v>658</v>
      </c>
      <c r="AC23" s="48" t="s">
        <v>659</v>
      </c>
      <c r="AD23" s="42">
        <v>45139</v>
      </c>
      <c r="AE23" s="258">
        <v>45289</v>
      </c>
      <c r="AF23" s="41" t="s">
        <v>477</v>
      </c>
      <c r="AG23" s="8" t="s">
        <v>86</v>
      </c>
      <c r="AH23" s="57">
        <v>2</v>
      </c>
      <c r="AI23" s="48" t="s">
        <v>555</v>
      </c>
      <c r="AJ23" s="267" t="s">
        <v>649</v>
      </c>
      <c r="AK23" s="53"/>
      <c r="AL23" s="55"/>
      <c r="AM23" s="55"/>
      <c r="AN23" s="53">
        <v>2</v>
      </c>
      <c r="AO23" s="53">
        <v>2</v>
      </c>
      <c r="AP23" s="274" t="s">
        <v>308</v>
      </c>
      <c r="AQ23" s="274" t="s">
        <v>660</v>
      </c>
      <c r="AR23" s="275" t="s">
        <v>661</v>
      </c>
      <c r="AS23" s="276" t="s">
        <v>657</v>
      </c>
      <c r="AT23" s="191"/>
      <c r="AU23" s="191"/>
      <c r="AV23" s="191"/>
      <c r="AW23" s="191"/>
      <c r="AX23" s="191"/>
      <c r="AY23" s="191"/>
      <c r="AZ23" s="191"/>
      <c r="BA23" s="191"/>
      <c r="BB23" s="182"/>
      <c r="BC23" s="175"/>
      <c r="BD23" s="175"/>
      <c r="BE23" s="8" t="s">
        <v>119</v>
      </c>
      <c r="BF23" s="8" t="s">
        <v>119</v>
      </c>
      <c r="BG23" s="28" t="s">
        <v>662</v>
      </c>
      <c r="BH23" s="8" t="s">
        <v>123</v>
      </c>
    </row>
    <row r="24" spans="1:60" ht="58.5" thickBot="1" x14ac:dyDescent="0.4">
      <c r="A24" s="54"/>
      <c r="B24" s="54"/>
      <c r="C24" s="41"/>
      <c r="D24" s="241"/>
      <c r="E24" s="41"/>
      <c r="F24" s="241"/>
      <c r="G24" s="41"/>
      <c r="H24" s="8"/>
      <c r="I24" s="8"/>
      <c r="J24" s="8"/>
      <c r="K24" s="8"/>
      <c r="L24" s="8"/>
      <c r="M24" s="8"/>
      <c r="N24" s="8"/>
      <c r="O24" s="8"/>
      <c r="P24" s="8"/>
      <c r="Q24" s="36"/>
      <c r="R24" s="20"/>
      <c r="S24" s="20"/>
      <c r="T24" s="20"/>
      <c r="U24" s="36"/>
      <c r="V24" s="242"/>
      <c r="W24" s="41" t="s">
        <v>210</v>
      </c>
      <c r="X24" s="41" t="s">
        <v>70</v>
      </c>
      <c r="Y24" s="57" t="s">
        <v>65</v>
      </c>
      <c r="Z24" s="57" t="s">
        <v>65</v>
      </c>
      <c r="AA24" s="37"/>
      <c r="AB24" s="48" t="s">
        <v>663</v>
      </c>
      <c r="AC24" s="48" t="s">
        <v>664</v>
      </c>
      <c r="AD24" s="42">
        <v>45139</v>
      </c>
      <c r="AE24" s="258">
        <v>45198</v>
      </c>
      <c r="AF24" s="48" t="s">
        <v>604</v>
      </c>
      <c r="AG24" s="48" t="s">
        <v>605</v>
      </c>
      <c r="AH24" s="57">
        <v>2</v>
      </c>
      <c r="AI24" s="48" t="s">
        <v>555</v>
      </c>
      <c r="AJ24" s="41" t="s">
        <v>649</v>
      </c>
      <c r="AK24" s="237"/>
      <c r="AL24" s="238"/>
      <c r="AM24" s="53">
        <v>2</v>
      </c>
      <c r="AN24" s="238"/>
      <c r="AO24" s="53">
        <v>2</v>
      </c>
      <c r="AP24" s="55"/>
      <c r="AQ24" s="55"/>
      <c r="AR24" s="55"/>
      <c r="AS24" s="69"/>
      <c r="AT24" s="69"/>
      <c r="AU24" s="69"/>
      <c r="AV24" s="69"/>
      <c r="AW24" s="69"/>
      <c r="AX24" s="69"/>
      <c r="AY24" s="69"/>
      <c r="AZ24" s="69"/>
      <c r="BA24" s="69"/>
      <c r="BB24" s="55"/>
      <c r="BC24" s="17"/>
      <c r="BD24" s="17"/>
      <c r="BE24" s="8" t="s">
        <v>119</v>
      </c>
      <c r="BF24" s="8" t="s">
        <v>119</v>
      </c>
      <c r="BG24" s="28" t="s">
        <v>665</v>
      </c>
      <c r="BH24" s="8" t="s">
        <v>123</v>
      </c>
    </row>
    <row r="25" spans="1:60" ht="101.5" x14ac:dyDescent="0.35">
      <c r="A25" s="46" t="s">
        <v>62</v>
      </c>
      <c r="B25" s="41" t="s">
        <v>63</v>
      </c>
      <c r="C25" s="41" t="s">
        <v>68</v>
      </c>
      <c r="D25" s="241"/>
      <c r="E25" s="48" t="s">
        <v>648</v>
      </c>
      <c r="F25" s="241"/>
      <c r="G25" s="48" t="s">
        <v>604</v>
      </c>
      <c r="H25" s="57" t="s">
        <v>605</v>
      </c>
      <c r="I25" s="57">
        <v>2</v>
      </c>
      <c r="J25" s="57" t="s">
        <v>555</v>
      </c>
      <c r="K25" s="266" t="s">
        <v>649</v>
      </c>
      <c r="L25" s="8">
        <v>2</v>
      </c>
      <c r="M25" s="8"/>
      <c r="N25" s="8"/>
      <c r="O25" s="8"/>
      <c r="P25" s="8">
        <v>2</v>
      </c>
      <c r="Q25" s="36"/>
      <c r="R25" s="20"/>
      <c r="S25" s="20"/>
      <c r="T25" s="20"/>
      <c r="U25" s="36"/>
      <c r="V25" s="242"/>
      <c r="W25" s="41" t="s">
        <v>210</v>
      </c>
      <c r="X25" s="41" t="s">
        <v>70</v>
      </c>
      <c r="Y25" s="57" t="s">
        <v>65</v>
      </c>
      <c r="Z25" s="57" t="s">
        <v>65</v>
      </c>
      <c r="AA25" s="37"/>
      <c r="AB25" s="195" t="s">
        <v>611</v>
      </c>
      <c r="AC25" s="48" t="s">
        <v>612</v>
      </c>
      <c r="AD25" s="42">
        <v>45293</v>
      </c>
      <c r="AE25" s="258">
        <v>45378</v>
      </c>
      <c r="AF25" s="48" t="s">
        <v>613</v>
      </c>
      <c r="AG25" s="48" t="s">
        <v>614</v>
      </c>
      <c r="AH25" s="57">
        <v>3</v>
      </c>
      <c r="AI25" s="48" t="s">
        <v>555</v>
      </c>
      <c r="AJ25" s="48" t="s">
        <v>666</v>
      </c>
      <c r="AK25" s="237">
        <v>3</v>
      </c>
      <c r="AL25" s="238"/>
      <c r="AM25" s="238"/>
      <c r="AN25" s="238"/>
      <c r="AO25" s="237">
        <v>3</v>
      </c>
      <c r="AP25" s="55"/>
      <c r="AQ25" s="55"/>
      <c r="AR25" s="55"/>
      <c r="AS25" s="69"/>
      <c r="AT25" s="69"/>
      <c r="AU25" s="69"/>
      <c r="AV25" s="69"/>
      <c r="AW25" s="69"/>
      <c r="AX25" s="69"/>
      <c r="AY25" s="69"/>
      <c r="AZ25" s="69"/>
      <c r="BA25" s="69"/>
      <c r="BB25" s="55"/>
      <c r="BC25" s="17"/>
      <c r="BD25" s="17"/>
      <c r="BE25" s="8" t="s">
        <v>119</v>
      </c>
      <c r="BF25" s="8" t="s">
        <v>119</v>
      </c>
      <c r="BG25" s="28" t="s">
        <v>667</v>
      </c>
      <c r="BH25" s="8" t="s">
        <v>123</v>
      </c>
    </row>
    <row r="26" spans="1:60" ht="72.5" x14ac:dyDescent="0.35">
      <c r="A26" s="54"/>
      <c r="B26" s="54"/>
      <c r="C26" s="41"/>
      <c r="D26" s="241"/>
      <c r="E26" s="41"/>
      <c r="F26" s="241"/>
      <c r="G26" s="241"/>
      <c r="H26" s="8"/>
      <c r="I26" s="8"/>
      <c r="J26" s="8"/>
      <c r="K26" s="8"/>
      <c r="L26" s="8"/>
      <c r="M26" s="8"/>
      <c r="N26" s="8"/>
      <c r="O26" s="8"/>
      <c r="P26" s="8"/>
      <c r="Q26" s="36"/>
      <c r="R26" s="20"/>
      <c r="S26" s="20"/>
      <c r="T26" s="20"/>
      <c r="U26" s="36"/>
      <c r="V26" s="242"/>
      <c r="W26" s="41" t="s">
        <v>210</v>
      </c>
      <c r="X26" s="41" t="s">
        <v>70</v>
      </c>
      <c r="Y26" s="57" t="s">
        <v>65</v>
      </c>
      <c r="Z26" s="57" t="s">
        <v>65</v>
      </c>
      <c r="AA26" s="37"/>
      <c r="AB26" s="41" t="s">
        <v>617</v>
      </c>
      <c r="AC26" s="243" t="s">
        <v>618</v>
      </c>
      <c r="AD26" s="42">
        <v>45293</v>
      </c>
      <c r="AE26" s="258">
        <v>45378</v>
      </c>
      <c r="AF26" s="41" t="s">
        <v>619</v>
      </c>
      <c r="AG26" s="41" t="s">
        <v>99</v>
      </c>
      <c r="AH26" s="57">
        <v>2</v>
      </c>
      <c r="AI26" s="48" t="s">
        <v>555</v>
      </c>
      <c r="AJ26" s="41" t="s">
        <v>649</v>
      </c>
      <c r="AK26" s="53">
        <v>2</v>
      </c>
      <c r="AL26" s="55"/>
      <c r="AM26" s="55"/>
      <c r="AN26" s="55"/>
      <c r="AO26" s="53">
        <v>2</v>
      </c>
      <c r="AP26" s="55"/>
      <c r="AQ26" s="55"/>
      <c r="AR26" s="55"/>
      <c r="AS26" s="69"/>
      <c r="AT26" s="69"/>
      <c r="AU26" s="69"/>
      <c r="AV26" s="69"/>
      <c r="AW26" s="69"/>
      <c r="AX26" s="69"/>
      <c r="AY26" s="69"/>
      <c r="AZ26" s="69"/>
      <c r="BA26" s="69"/>
      <c r="BB26" s="55"/>
      <c r="BC26" s="17"/>
      <c r="BD26" s="17"/>
      <c r="BE26" s="8" t="s">
        <v>119</v>
      </c>
      <c r="BF26" s="8" t="s">
        <v>119</v>
      </c>
      <c r="BG26" s="28" t="s">
        <v>650</v>
      </c>
      <c r="BH26" s="8" t="s">
        <v>123</v>
      </c>
    </row>
    <row r="27" spans="1:60" s="187" customFormat="1" ht="43.5" x14ac:dyDescent="0.35">
      <c r="A27" s="46" t="s">
        <v>62</v>
      </c>
      <c r="B27" s="41" t="s">
        <v>63</v>
      </c>
      <c r="C27" s="41" t="s">
        <v>68</v>
      </c>
      <c r="D27" s="259"/>
      <c r="E27" s="48" t="s">
        <v>668</v>
      </c>
      <c r="F27" s="259"/>
      <c r="G27" s="48" t="s">
        <v>604</v>
      </c>
      <c r="H27" s="57" t="s">
        <v>605</v>
      </c>
      <c r="I27" s="57">
        <v>2</v>
      </c>
      <c r="J27" s="57" t="s">
        <v>555</v>
      </c>
      <c r="K27" s="57" t="s">
        <v>556</v>
      </c>
      <c r="L27" s="8"/>
      <c r="M27" s="8"/>
      <c r="N27" s="8">
        <v>2</v>
      </c>
      <c r="O27" s="8"/>
      <c r="P27" s="8">
        <v>2</v>
      </c>
      <c r="Q27" s="180"/>
      <c r="R27" s="181"/>
      <c r="S27" s="181"/>
      <c r="T27" s="181"/>
      <c r="U27" s="180"/>
      <c r="V27" s="260"/>
      <c r="W27" s="41" t="s">
        <v>210</v>
      </c>
      <c r="X27" s="41" t="s">
        <v>669</v>
      </c>
      <c r="Y27" s="57" t="s">
        <v>65</v>
      </c>
      <c r="Z27" s="57" t="s">
        <v>65</v>
      </c>
      <c r="AA27" s="37"/>
      <c r="AB27" s="171" t="s">
        <v>608</v>
      </c>
      <c r="AC27" s="41" t="s">
        <v>609</v>
      </c>
      <c r="AD27" s="42">
        <v>45170</v>
      </c>
      <c r="AE27" s="258">
        <v>45289</v>
      </c>
      <c r="AF27" s="41" t="s">
        <v>477</v>
      </c>
      <c r="AG27" s="8" t="s">
        <v>86</v>
      </c>
      <c r="AH27" s="57">
        <v>2</v>
      </c>
      <c r="AI27" s="48" t="s">
        <v>555</v>
      </c>
      <c r="AJ27" s="41" t="s">
        <v>610</v>
      </c>
      <c r="AK27" s="53"/>
      <c r="AL27" s="55"/>
      <c r="AM27" s="55"/>
      <c r="AN27" s="53">
        <v>2</v>
      </c>
      <c r="AO27" s="53">
        <v>2</v>
      </c>
      <c r="AP27" s="55"/>
      <c r="AQ27" s="55"/>
      <c r="AR27" s="55"/>
      <c r="AS27" s="69"/>
      <c r="AT27" s="69"/>
      <c r="AU27" s="69"/>
      <c r="AV27" s="69"/>
      <c r="AW27" s="69"/>
      <c r="AX27" s="69"/>
      <c r="AY27" s="69"/>
      <c r="AZ27" s="69"/>
      <c r="BA27" s="69"/>
      <c r="BB27" s="55"/>
      <c r="BC27" s="17"/>
      <c r="BD27" s="17"/>
      <c r="BE27" s="8" t="s">
        <v>505</v>
      </c>
      <c r="BF27" s="8" t="s">
        <v>513</v>
      </c>
      <c r="BG27" s="28" t="s">
        <v>228</v>
      </c>
      <c r="BH27" s="28" t="s">
        <v>228</v>
      </c>
    </row>
    <row r="28" spans="1:60" ht="87" x14ac:dyDescent="0.35">
      <c r="A28" s="46" t="s">
        <v>62</v>
      </c>
      <c r="B28" s="41" t="s">
        <v>63</v>
      </c>
      <c r="C28" s="41" t="s">
        <v>68</v>
      </c>
      <c r="D28" s="241"/>
      <c r="E28" s="48" t="s">
        <v>668</v>
      </c>
      <c r="F28" s="241"/>
      <c r="G28" s="48" t="s">
        <v>604</v>
      </c>
      <c r="H28" s="57" t="s">
        <v>605</v>
      </c>
      <c r="I28" s="57">
        <v>2</v>
      </c>
      <c r="J28" s="57" t="s">
        <v>555</v>
      </c>
      <c r="K28" s="57" t="s">
        <v>556</v>
      </c>
      <c r="L28" s="8">
        <v>2</v>
      </c>
      <c r="M28" s="8"/>
      <c r="N28" s="8"/>
      <c r="O28" s="8"/>
      <c r="P28" s="8">
        <v>2</v>
      </c>
      <c r="Q28" s="36"/>
      <c r="R28" s="20"/>
      <c r="S28" s="20"/>
      <c r="T28" s="20"/>
      <c r="U28" s="36"/>
      <c r="V28" s="242"/>
      <c r="W28" s="41" t="s">
        <v>210</v>
      </c>
      <c r="X28" s="41" t="s">
        <v>669</v>
      </c>
      <c r="Y28" s="57" t="s">
        <v>65</v>
      </c>
      <c r="Z28" s="57" t="s">
        <v>65</v>
      </c>
      <c r="AA28" s="37"/>
      <c r="AB28" s="171" t="s">
        <v>611</v>
      </c>
      <c r="AC28" s="48" t="s">
        <v>612</v>
      </c>
      <c r="AD28" s="42">
        <v>45293</v>
      </c>
      <c r="AE28" s="258">
        <v>45378</v>
      </c>
      <c r="AF28" s="48" t="s">
        <v>613</v>
      </c>
      <c r="AG28" s="48" t="s">
        <v>614</v>
      </c>
      <c r="AH28" s="57">
        <v>3</v>
      </c>
      <c r="AI28" s="48" t="s">
        <v>555</v>
      </c>
      <c r="AJ28" s="48" t="s">
        <v>615</v>
      </c>
      <c r="AK28" s="237">
        <v>3</v>
      </c>
      <c r="AL28" s="238"/>
      <c r="AM28" s="238"/>
      <c r="AN28" s="238"/>
      <c r="AO28" s="237">
        <v>3</v>
      </c>
      <c r="AP28" s="55"/>
      <c r="AQ28" s="55"/>
      <c r="AR28" s="55"/>
      <c r="AS28" s="69"/>
      <c r="AT28" s="69"/>
      <c r="AU28" s="69"/>
      <c r="AV28" s="69"/>
      <c r="AW28" s="69"/>
      <c r="AX28" s="69"/>
      <c r="AY28" s="69"/>
      <c r="AZ28" s="69"/>
      <c r="BA28" s="69"/>
      <c r="BB28" s="55"/>
      <c r="BC28" s="17"/>
      <c r="BD28" s="17"/>
      <c r="BE28" s="8" t="s">
        <v>505</v>
      </c>
      <c r="BF28" s="8" t="s">
        <v>513</v>
      </c>
      <c r="BG28" s="28" t="s">
        <v>670</v>
      </c>
      <c r="BH28" s="28" t="s">
        <v>228</v>
      </c>
    </row>
    <row r="29" spans="1:60" ht="43.5" x14ac:dyDescent="0.35">
      <c r="A29" s="54"/>
      <c r="B29" s="54"/>
      <c r="C29" s="41"/>
      <c r="D29" s="241"/>
      <c r="E29" s="41"/>
      <c r="F29" s="241"/>
      <c r="G29" s="241"/>
      <c r="H29" s="8"/>
      <c r="I29" s="8"/>
      <c r="J29" s="8"/>
      <c r="K29" s="8"/>
      <c r="L29" s="8"/>
      <c r="M29" s="8"/>
      <c r="N29" s="8"/>
      <c r="O29" s="8"/>
      <c r="P29" s="8"/>
      <c r="Q29" s="36"/>
      <c r="R29" s="20"/>
      <c r="S29" s="20"/>
      <c r="T29" s="20"/>
      <c r="U29" s="36"/>
      <c r="V29" s="242"/>
      <c r="W29" s="41" t="s">
        <v>210</v>
      </c>
      <c r="X29" s="41" t="s">
        <v>669</v>
      </c>
      <c r="Y29" s="57" t="s">
        <v>65</v>
      </c>
      <c r="Z29" s="57" t="s">
        <v>65</v>
      </c>
      <c r="AA29" s="37"/>
      <c r="AB29" s="41" t="s">
        <v>617</v>
      </c>
      <c r="AC29" s="243" t="s">
        <v>618</v>
      </c>
      <c r="AD29" s="42">
        <v>45293</v>
      </c>
      <c r="AE29" s="258">
        <v>45378</v>
      </c>
      <c r="AF29" s="41" t="s">
        <v>619</v>
      </c>
      <c r="AG29" s="41" t="s">
        <v>99</v>
      </c>
      <c r="AH29" s="57">
        <v>2</v>
      </c>
      <c r="AI29" s="48" t="s">
        <v>555</v>
      </c>
      <c r="AJ29" s="41" t="s">
        <v>610</v>
      </c>
      <c r="AK29" s="53">
        <v>2</v>
      </c>
      <c r="AL29" s="55"/>
      <c r="AM29" s="55"/>
      <c r="AN29" s="55"/>
      <c r="AO29" s="53">
        <v>2</v>
      </c>
      <c r="AP29" s="55"/>
      <c r="AQ29" s="55"/>
      <c r="AR29" s="55"/>
      <c r="AS29" s="69"/>
      <c r="AT29" s="69"/>
      <c r="AU29" s="69"/>
      <c r="AV29" s="69"/>
      <c r="AW29" s="69"/>
      <c r="AX29" s="69"/>
      <c r="AY29" s="69"/>
      <c r="AZ29" s="69"/>
      <c r="BA29" s="69"/>
      <c r="BB29" s="55"/>
      <c r="BC29" s="17"/>
      <c r="BD29" s="17"/>
      <c r="BE29" s="8" t="s">
        <v>505</v>
      </c>
      <c r="BF29" s="8" t="s">
        <v>513</v>
      </c>
      <c r="BG29" s="28" t="s">
        <v>671</v>
      </c>
      <c r="BH29" s="28" t="s">
        <v>228</v>
      </c>
    </row>
    <row r="30" spans="1:60" s="187" customFormat="1" ht="58.5" thickBot="1" x14ac:dyDescent="0.4">
      <c r="A30" s="54" t="s">
        <v>62</v>
      </c>
      <c r="B30" s="54" t="s">
        <v>63</v>
      </c>
      <c r="C30" s="41" t="s">
        <v>68</v>
      </c>
      <c r="D30" s="259"/>
      <c r="E30" s="41" t="s">
        <v>672</v>
      </c>
      <c r="F30" s="259"/>
      <c r="G30" s="259" t="s">
        <v>604</v>
      </c>
      <c r="H30" s="8" t="s">
        <v>605</v>
      </c>
      <c r="I30" s="8">
        <v>2</v>
      </c>
      <c r="J30" s="8" t="s">
        <v>555</v>
      </c>
      <c r="K30" s="8" t="s">
        <v>622</v>
      </c>
      <c r="L30" s="8"/>
      <c r="M30" s="8"/>
      <c r="N30" s="8">
        <v>2</v>
      </c>
      <c r="O30" s="8"/>
      <c r="P30" s="8">
        <v>2</v>
      </c>
      <c r="Q30" s="180"/>
      <c r="R30" s="181"/>
      <c r="S30" s="181"/>
      <c r="T30" s="181"/>
      <c r="U30" s="180"/>
      <c r="V30" s="260"/>
      <c r="W30" s="41" t="s">
        <v>210</v>
      </c>
      <c r="X30" s="41" t="s">
        <v>578</v>
      </c>
      <c r="Y30" s="57" t="s">
        <v>65</v>
      </c>
      <c r="Z30" s="57" t="s">
        <v>65</v>
      </c>
      <c r="AA30" s="37"/>
      <c r="AB30" s="171" t="s">
        <v>608</v>
      </c>
      <c r="AC30" s="41" t="s">
        <v>609</v>
      </c>
      <c r="AD30" s="42">
        <v>45170</v>
      </c>
      <c r="AE30" s="258">
        <v>45289</v>
      </c>
      <c r="AF30" s="41" t="s">
        <v>477</v>
      </c>
      <c r="AG30" s="8" t="s">
        <v>86</v>
      </c>
      <c r="AH30" s="57">
        <v>2</v>
      </c>
      <c r="AI30" s="48" t="s">
        <v>555</v>
      </c>
      <c r="AJ30" s="41" t="s">
        <v>610</v>
      </c>
      <c r="AK30" s="53"/>
      <c r="AL30" s="55"/>
      <c r="AM30" s="55"/>
      <c r="AN30" s="53">
        <v>2</v>
      </c>
      <c r="AO30" s="53">
        <v>2</v>
      </c>
      <c r="AP30" s="55"/>
      <c r="AQ30" s="55"/>
      <c r="AR30" s="55"/>
      <c r="AS30" s="69"/>
      <c r="AT30" s="69"/>
      <c r="AU30" s="69"/>
      <c r="AV30" s="69"/>
      <c r="AW30" s="69"/>
      <c r="AX30" s="69"/>
      <c r="AY30" s="69"/>
      <c r="AZ30" s="69"/>
      <c r="BA30" s="69"/>
      <c r="BB30" s="55"/>
      <c r="BC30" s="17"/>
      <c r="BD30" s="17"/>
      <c r="BE30" s="8" t="s">
        <v>308</v>
      </c>
      <c r="BF30" s="8" t="s">
        <v>510</v>
      </c>
      <c r="BG30" s="28" t="s">
        <v>673</v>
      </c>
      <c r="BH30" s="28" t="s">
        <v>673</v>
      </c>
    </row>
    <row r="31" spans="1:60" s="187" customFormat="1" ht="206.5" customHeight="1" x14ac:dyDescent="0.35">
      <c r="A31" s="54"/>
      <c r="B31" s="54"/>
      <c r="C31" s="41"/>
      <c r="D31" s="259"/>
      <c r="E31" s="41"/>
      <c r="F31" s="259"/>
      <c r="G31" s="259"/>
      <c r="H31" s="8"/>
      <c r="I31" s="8"/>
      <c r="J31" s="8"/>
      <c r="K31" s="8"/>
      <c r="L31" s="8"/>
      <c r="M31" s="8"/>
      <c r="N31" s="8"/>
      <c r="O31" s="8"/>
      <c r="P31" s="8"/>
      <c r="Q31" s="180"/>
      <c r="R31" s="181"/>
      <c r="S31" s="181"/>
      <c r="T31" s="181"/>
      <c r="U31" s="180"/>
      <c r="V31" s="260"/>
      <c r="W31" s="41" t="s">
        <v>210</v>
      </c>
      <c r="X31" s="41" t="s">
        <v>578</v>
      </c>
      <c r="Y31" s="57" t="s">
        <v>65</v>
      </c>
      <c r="Z31" s="57" t="s">
        <v>65</v>
      </c>
      <c r="AA31" s="37"/>
      <c r="AB31" s="267" t="s">
        <v>674</v>
      </c>
      <c r="AC31" s="243" t="s">
        <v>675</v>
      </c>
      <c r="AD31" s="268">
        <v>45139</v>
      </c>
      <c r="AE31" s="269">
        <v>45289</v>
      </c>
      <c r="AF31" s="267" t="s">
        <v>676</v>
      </c>
      <c r="AG31" s="267" t="s">
        <v>677</v>
      </c>
      <c r="AH31" s="266">
        <v>2</v>
      </c>
      <c r="AI31" s="267" t="s">
        <v>555</v>
      </c>
      <c r="AJ31" s="267" t="s">
        <v>678</v>
      </c>
      <c r="AK31" s="270"/>
      <c r="AL31" s="271"/>
      <c r="AM31" s="271"/>
      <c r="AN31" s="270">
        <v>2</v>
      </c>
      <c r="AO31" s="270">
        <v>2</v>
      </c>
      <c r="AP31" s="277" t="s">
        <v>308</v>
      </c>
      <c r="AQ31" s="277" t="s">
        <v>679</v>
      </c>
      <c r="AR31" s="278" t="s">
        <v>680</v>
      </c>
      <c r="AS31" s="279" t="s">
        <v>681</v>
      </c>
      <c r="AT31" s="191"/>
      <c r="AU31" s="191"/>
      <c r="AV31" s="191"/>
      <c r="AW31" s="191"/>
      <c r="AX31" s="191"/>
      <c r="AY31" s="191"/>
      <c r="AZ31" s="191"/>
      <c r="BA31" s="191"/>
      <c r="BB31" s="182"/>
      <c r="BC31" s="175"/>
      <c r="BD31" s="175"/>
      <c r="BE31" s="8" t="s">
        <v>308</v>
      </c>
      <c r="BF31" s="8" t="s">
        <v>510</v>
      </c>
      <c r="BG31" s="28" t="s">
        <v>682</v>
      </c>
      <c r="BH31" s="219" t="s">
        <v>673</v>
      </c>
    </row>
    <row r="32" spans="1:60" s="187" customFormat="1" ht="145.5" customHeight="1" x14ac:dyDescent="0.35">
      <c r="A32" s="54"/>
      <c r="B32" s="54"/>
      <c r="C32" s="41"/>
      <c r="D32" s="259"/>
      <c r="E32" s="41"/>
      <c r="F32" s="259"/>
      <c r="G32" s="259"/>
      <c r="H32" s="8"/>
      <c r="I32" s="8"/>
      <c r="J32" s="8"/>
      <c r="K32" s="8"/>
      <c r="L32" s="8"/>
      <c r="M32" s="8"/>
      <c r="N32" s="8"/>
      <c r="O32" s="8"/>
      <c r="P32" s="8"/>
      <c r="Q32" s="180"/>
      <c r="R32" s="181"/>
      <c r="S32" s="181"/>
      <c r="T32" s="181"/>
      <c r="U32" s="180"/>
      <c r="V32" s="260"/>
      <c r="W32" s="41" t="s">
        <v>210</v>
      </c>
      <c r="X32" s="41" t="s">
        <v>578</v>
      </c>
      <c r="Y32" s="57" t="s">
        <v>65</v>
      </c>
      <c r="Z32" s="57" t="s">
        <v>65</v>
      </c>
      <c r="AA32" s="37"/>
      <c r="AB32" s="41" t="s">
        <v>683</v>
      </c>
      <c r="AC32" s="243" t="s">
        <v>684</v>
      </c>
      <c r="AD32" s="42">
        <v>45139</v>
      </c>
      <c r="AE32" s="258">
        <v>45289</v>
      </c>
      <c r="AF32" s="41" t="s">
        <v>477</v>
      </c>
      <c r="AG32" s="8" t="s">
        <v>86</v>
      </c>
      <c r="AH32" s="57">
        <v>2</v>
      </c>
      <c r="AI32" s="48" t="s">
        <v>555</v>
      </c>
      <c r="AJ32" s="41" t="s">
        <v>685</v>
      </c>
      <c r="AK32" s="53"/>
      <c r="AL32" s="55"/>
      <c r="AM32" s="55"/>
      <c r="AN32" s="53">
        <v>2</v>
      </c>
      <c r="AO32" s="53">
        <v>2</v>
      </c>
      <c r="AP32" s="274" t="s">
        <v>308</v>
      </c>
      <c r="AQ32" s="274" t="s">
        <v>686</v>
      </c>
      <c r="AR32" s="275" t="s">
        <v>687</v>
      </c>
      <c r="AS32" s="276" t="s">
        <v>681</v>
      </c>
      <c r="AT32" s="191"/>
      <c r="AU32" s="191"/>
      <c r="AV32" s="191"/>
      <c r="AW32" s="191"/>
      <c r="AX32" s="191"/>
      <c r="AY32" s="191"/>
      <c r="AZ32" s="191"/>
      <c r="BA32" s="191"/>
      <c r="BB32" s="182"/>
      <c r="BC32" s="175"/>
      <c r="BD32" s="175"/>
      <c r="BE32" s="8" t="s">
        <v>308</v>
      </c>
      <c r="BF32" s="8" t="s">
        <v>510</v>
      </c>
      <c r="BG32" s="28" t="s">
        <v>687</v>
      </c>
      <c r="BH32" s="28" t="s">
        <v>673</v>
      </c>
    </row>
    <row r="33" spans="1:60" s="187" customFormat="1" ht="112.5" customHeight="1" x14ac:dyDescent="0.35">
      <c r="A33" s="54"/>
      <c r="B33" s="54"/>
      <c r="C33" s="41"/>
      <c r="D33" s="259"/>
      <c r="E33" s="41"/>
      <c r="F33" s="259"/>
      <c r="G33" s="259"/>
      <c r="H33" s="8"/>
      <c r="I33" s="8"/>
      <c r="J33" s="8"/>
      <c r="K33" s="8"/>
      <c r="L33" s="8"/>
      <c r="M33" s="8"/>
      <c r="N33" s="8"/>
      <c r="O33" s="8"/>
      <c r="P33" s="8"/>
      <c r="Q33" s="180"/>
      <c r="R33" s="181"/>
      <c r="S33" s="181"/>
      <c r="T33" s="181"/>
      <c r="U33" s="180"/>
      <c r="V33" s="260"/>
      <c r="W33" s="41" t="s">
        <v>210</v>
      </c>
      <c r="X33" s="41" t="s">
        <v>578</v>
      </c>
      <c r="Y33" s="57" t="s">
        <v>65</v>
      </c>
      <c r="Z33" s="57" t="s">
        <v>65</v>
      </c>
      <c r="AA33" s="37"/>
      <c r="AB33" s="41" t="s">
        <v>688</v>
      </c>
      <c r="AC33" s="243" t="s">
        <v>689</v>
      </c>
      <c r="AD33" s="42">
        <v>45139</v>
      </c>
      <c r="AE33" s="258">
        <v>45289</v>
      </c>
      <c r="AF33" s="41" t="s">
        <v>477</v>
      </c>
      <c r="AG33" s="8" t="s">
        <v>86</v>
      </c>
      <c r="AH33" s="57">
        <v>2</v>
      </c>
      <c r="AI33" s="48" t="s">
        <v>555</v>
      </c>
      <c r="AJ33" s="41" t="s">
        <v>690</v>
      </c>
      <c r="AK33" s="53"/>
      <c r="AL33" s="55"/>
      <c r="AM33" s="55"/>
      <c r="AN33" s="53">
        <v>2</v>
      </c>
      <c r="AO33" s="53">
        <v>2</v>
      </c>
      <c r="AP33" s="274" t="s">
        <v>308</v>
      </c>
      <c r="AQ33" s="274" t="s">
        <v>691</v>
      </c>
      <c r="AR33" s="274" t="s">
        <v>692</v>
      </c>
      <c r="AS33" s="276" t="s">
        <v>681</v>
      </c>
      <c r="AT33" s="191"/>
      <c r="AU33" s="191"/>
      <c r="AV33" s="191"/>
      <c r="AW33" s="191"/>
      <c r="AX33" s="191"/>
      <c r="AY33" s="191"/>
      <c r="AZ33" s="191"/>
      <c r="BA33" s="191"/>
      <c r="BB33" s="182"/>
      <c r="BC33" s="175"/>
      <c r="BD33" s="175"/>
      <c r="BE33" s="8" t="s">
        <v>308</v>
      </c>
      <c r="BF33" s="8" t="s">
        <v>510</v>
      </c>
      <c r="BG33" s="8" t="s">
        <v>692</v>
      </c>
      <c r="BH33" s="219" t="s">
        <v>673</v>
      </c>
    </row>
    <row r="34" spans="1:60" ht="161.15" customHeight="1" x14ac:dyDescent="0.35">
      <c r="A34" s="54"/>
      <c r="B34" s="54"/>
      <c r="C34" s="41"/>
      <c r="D34" s="259"/>
      <c r="E34" s="41"/>
      <c r="F34" s="259"/>
      <c r="G34" s="259"/>
      <c r="H34" s="8"/>
      <c r="I34" s="8"/>
      <c r="J34" s="8"/>
      <c r="K34" s="8"/>
      <c r="L34" s="8"/>
      <c r="M34" s="8"/>
      <c r="N34" s="8"/>
      <c r="O34" s="8"/>
      <c r="P34" s="8"/>
      <c r="Q34" s="36"/>
      <c r="R34" s="20"/>
      <c r="S34" s="20"/>
      <c r="T34" s="20"/>
      <c r="U34" s="36"/>
      <c r="V34" s="242"/>
      <c r="W34" s="41" t="s">
        <v>210</v>
      </c>
      <c r="X34" s="41" t="s">
        <v>578</v>
      </c>
      <c r="Y34" s="57" t="s">
        <v>65</v>
      </c>
      <c r="Z34" s="57" t="s">
        <v>65</v>
      </c>
      <c r="AA34" s="37"/>
      <c r="AB34" s="41" t="s">
        <v>693</v>
      </c>
      <c r="AC34" s="243" t="s">
        <v>694</v>
      </c>
      <c r="AD34" s="42">
        <v>45139</v>
      </c>
      <c r="AE34" s="258">
        <v>45289</v>
      </c>
      <c r="AF34" s="41" t="s">
        <v>477</v>
      </c>
      <c r="AG34" s="8" t="s">
        <v>86</v>
      </c>
      <c r="AH34" s="57">
        <v>2</v>
      </c>
      <c r="AI34" s="48" t="s">
        <v>555</v>
      </c>
      <c r="AJ34" s="41" t="s">
        <v>695</v>
      </c>
      <c r="AK34" s="53"/>
      <c r="AL34" s="55"/>
      <c r="AM34" s="55"/>
      <c r="AN34" s="53">
        <v>2</v>
      </c>
      <c r="AO34" s="53">
        <v>2</v>
      </c>
      <c r="AP34" s="274" t="s">
        <v>308</v>
      </c>
      <c r="AQ34" s="274" t="s">
        <v>696</v>
      </c>
      <c r="AR34" s="274" t="s">
        <v>697</v>
      </c>
      <c r="AS34" s="276" t="s">
        <v>681</v>
      </c>
      <c r="AT34" s="69"/>
      <c r="AU34" s="69"/>
      <c r="AV34" s="69"/>
      <c r="AW34" s="69"/>
      <c r="AX34" s="69"/>
      <c r="AY34" s="69"/>
      <c r="AZ34" s="69"/>
      <c r="BA34" s="69"/>
      <c r="BB34" s="55"/>
      <c r="BC34" s="17"/>
      <c r="BD34" s="17"/>
      <c r="BE34" s="8" t="s">
        <v>308</v>
      </c>
      <c r="BF34" s="8" t="s">
        <v>510</v>
      </c>
      <c r="BG34" s="8" t="s">
        <v>697</v>
      </c>
      <c r="BH34" s="219" t="s">
        <v>673</v>
      </c>
    </row>
    <row r="35" spans="1:60" ht="101.5" x14ac:dyDescent="0.35">
      <c r="A35" s="46" t="s">
        <v>62</v>
      </c>
      <c r="B35" s="41" t="s">
        <v>63</v>
      </c>
      <c r="C35" s="41" t="s">
        <v>68</v>
      </c>
      <c r="D35" s="241"/>
      <c r="E35" s="48" t="s">
        <v>672</v>
      </c>
      <c r="F35" s="241"/>
      <c r="G35" s="48" t="s">
        <v>604</v>
      </c>
      <c r="H35" s="57" t="s">
        <v>605</v>
      </c>
      <c r="I35" s="57">
        <v>2</v>
      </c>
      <c r="J35" s="57" t="s">
        <v>555</v>
      </c>
      <c r="K35" s="198" t="s">
        <v>622</v>
      </c>
      <c r="L35" s="8">
        <v>2</v>
      </c>
      <c r="M35" s="8"/>
      <c r="N35" s="8"/>
      <c r="O35" s="8"/>
      <c r="P35" s="8">
        <v>2</v>
      </c>
      <c r="Q35" s="36"/>
      <c r="R35" s="20"/>
      <c r="S35" s="20"/>
      <c r="T35" s="20"/>
      <c r="U35" s="36"/>
      <c r="V35" s="242"/>
      <c r="W35" s="41" t="s">
        <v>210</v>
      </c>
      <c r="X35" s="41" t="s">
        <v>578</v>
      </c>
      <c r="Y35" s="57" t="s">
        <v>65</v>
      </c>
      <c r="Z35" s="57" t="s">
        <v>65</v>
      </c>
      <c r="AA35" s="37"/>
      <c r="AB35" s="171" t="s">
        <v>611</v>
      </c>
      <c r="AC35" s="48" t="s">
        <v>612</v>
      </c>
      <c r="AD35" s="42">
        <v>45293</v>
      </c>
      <c r="AE35" s="258">
        <v>45378</v>
      </c>
      <c r="AF35" s="48" t="s">
        <v>613</v>
      </c>
      <c r="AG35" s="48" t="s">
        <v>614</v>
      </c>
      <c r="AH35" s="57">
        <v>3</v>
      </c>
      <c r="AI35" s="48" t="s">
        <v>555</v>
      </c>
      <c r="AJ35" s="48" t="s">
        <v>666</v>
      </c>
      <c r="AK35" s="237">
        <v>3</v>
      </c>
      <c r="AL35" s="238"/>
      <c r="AM35" s="238"/>
      <c r="AN35" s="238"/>
      <c r="AO35" s="237">
        <v>3</v>
      </c>
      <c r="AP35" s="55"/>
      <c r="AQ35" s="55"/>
      <c r="AR35" s="55"/>
      <c r="AS35" s="69"/>
      <c r="AT35" s="69"/>
      <c r="AU35" s="69"/>
      <c r="AV35" s="69"/>
      <c r="AW35" s="69"/>
      <c r="AX35" s="69"/>
      <c r="AY35" s="69"/>
      <c r="AZ35" s="69"/>
      <c r="BA35" s="69"/>
      <c r="BB35" s="55"/>
      <c r="BC35" s="17"/>
      <c r="BD35" s="17"/>
      <c r="BE35" s="8" t="s">
        <v>308</v>
      </c>
      <c r="BF35" s="8" t="s">
        <v>510</v>
      </c>
      <c r="BG35" s="28" t="s">
        <v>698</v>
      </c>
      <c r="BH35" s="219" t="s">
        <v>673</v>
      </c>
    </row>
    <row r="36" spans="1:60" ht="58" x14ac:dyDescent="0.35">
      <c r="A36" s="54"/>
      <c r="B36" s="54"/>
      <c r="C36" s="41"/>
      <c r="D36" s="241"/>
      <c r="E36" s="41"/>
      <c r="F36" s="241"/>
      <c r="G36" s="241"/>
      <c r="H36" s="8"/>
      <c r="I36" s="8"/>
      <c r="J36" s="8"/>
      <c r="K36" s="8"/>
      <c r="L36" s="8"/>
      <c r="M36" s="8"/>
      <c r="N36" s="8"/>
      <c r="O36" s="8"/>
      <c r="P36" s="8"/>
      <c r="Q36" s="36"/>
      <c r="R36" s="20"/>
      <c r="S36" s="20"/>
      <c r="T36" s="20"/>
      <c r="U36" s="36"/>
      <c r="V36" s="242"/>
      <c r="W36" s="41" t="s">
        <v>210</v>
      </c>
      <c r="X36" s="41" t="s">
        <v>578</v>
      </c>
      <c r="Y36" s="57" t="s">
        <v>65</v>
      </c>
      <c r="Z36" s="57" t="s">
        <v>65</v>
      </c>
      <c r="AA36" s="37"/>
      <c r="AB36" s="41" t="s">
        <v>617</v>
      </c>
      <c r="AC36" s="243" t="s">
        <v>618</v>
      </c>
      <c r="AD36" s="42">
        <v>45293</v>
      </c>
      <c r="AE36" s="258">
        <v>45378</v>
      </c>
      <c r="AF36" s="41" t="s">
        <v>619</v>
      </c>
      <c r="AG36" s="41" t="s">
        <v>99</v>
      </c>
      <c r="AH36" s="57">
        <v>2</v>
      </c>
      <c r="AI36" s="48" t="s">
        <v>555</v>
      </c>
      <c r="AJ36" s="41" t="s">
        <v>610</v>
      </c>
      <c r="AK36" s="53">
        <v>2</v>
      </c>
      <c r="AL36" s="55"/>
      <c r="AM36" s="55"/>
      <c r="AN36" s="55"/>
      <c r="AO36" s="53">
        <v>2</v>
      </c>
      <c r="AP36" s="55"/>
      <c r="AQ36" s="55"/>
      <c r="AR36" s="55"/>
      <c r="AS36" s="69"/>
      <c r="AT36" s="69"/>
      <c r="AU36" s="69"/>
      <c r="AV36" s="69"/>
      <c r="AW36" s="69"/>
      <c r="AX36" s="69"/>
      <c r="AY36" s="69"/>
      <c r="AZ36" s="69"/>
      <c r="BA36" s="69"/>
      <c r="BB36" s="55"/>
      <c r="BC36" s="17"/>
      <c r="BD36" s="17"/>
      <c r="BE36" s="8" t="s">
        <v>308</v>
      </c>
      <c r="BF36" s="8" t="s">
        <v>510</v>
      </c>
      <c r="BG36" s="28" t="s">
        <v>639</v>
      </c>
      <c r="BH36" s="219" t="s">
        <v>673</v>
      </c>
    </row>
    <row r="37" spans="1:60" s="187" customFormat="1" ht="58.5" thickBot="1" x14ac:dyDescent="0.4">
      <c r="A37" s="46" t="s">
        <v>62</v>
      </c>
      <c r="B37" s="41" t="s">
        <v>63</v>
      </c>
      <c r="C37" s="41" t="s">
        <v>68</v>
      </c>
      <c r="D37" s="259"/>
      <c r="E37" s="48" t="s">
        <v>699</v>
      </c>
      <c r="F37" s="259"/>
      <c r="G37" s="48" t="s">
        <v>604</v>
      </c>
      <c r="H37" s="57" t="s">
        <v>605</v>
      </c>
      <c r="I37" s="57">
        <v>2</v>
      </c>
      <c r="J37" s="57" t="s">
        <v>555</v>
      </c>
      <c r="K37" s="57" t="s">
        <v>556</v>
      </c>
      <c r="L37" s="8"/>
      <c r="M37" s="8"/>
      <c r="N37" s="8">
        <v>2</v>
      </c>
      <c r="O37" s="8"/>
      <c r="P37" s="8">
        <v>2</v>
      </c>
      <c r="Q37" s="180"/>
      <c r="R37" s="181"/>
      <c r="S37" s="181"/>
      <c r="T37" s="181"/>
      <c r="U37" s="180"/>
      <c r="V37" s="260"/>
      <c r="W37" s="41" t="s">
        <v>210</v>
      </c>
      <c r="X37" s="41" t="s">
        <v>700</v>
      </c>
      <c r="Y37" s="57" t="s">
        <v>65</v>
      </c>
      <c r="Z37" s="57" t="s">
        <v>65</v>
      </c>
      <c r="AA37" s="37"/>
      <c r="AB37" s="280" t="s">
        <v>701</v>
      </c>
      <c r="AC37" s="48" t="s">
        <v>702</v>
      </c>
      <c r="AD37" s="42">
        <v>45139</v>
      </c>
      <c r="AE37" s="258">
        <v>45198</v>
      </c>
      <c r="AF37" s="48" t="s">
        <v>604</v>
      </c>
      <c r="AG37" s="48" t="s">
        <v>605</v>
      </c>
      <c r="AH37" s="57">
        <v>2</v>
      </c>
      <c r="AI37" s="48" t="s">
        <v>555</v>
      </c>
      <c r="AJ37" s="48" t="s">
        <v>556</v>
      </c>
      <c r="AK37" s="237"/>
      <c r="AL37" s="238"/>
      <c r="AM37" s="53">
        <v>2</v>
      </c>
      <c r="AN37" s="238"/>
      <c r="AO37" s="53">
        <v>2</v>
      </c>
      <c r="AP37" s="55"/>
      <c r="AQ37" s="55"/>
      <c r="AR37" s="55"/>
      <c r="AS37" s="69"/>
      <c r="AT37" s="69"/>
      <c r="AU37" s="69"/>
      <c r="AV37" s="69"/>
      <c r="AW37" s="69"/>
      <c r="AX37" s="69"/>
      <c r="AY37" s="69"/>
      <c r="AZ37" s="69"/>
      <c r="BA37" s="69"/>
      <c r="BB37" s="55"/>
      <c r="BC37" s="17"/>
      <c r="BD37" s="17"/>
      <c r="BE37" s="8" t="s">
        <v>308</v>
      </c>
      <c r="BF37" s="8" t="s">
        <v>510</v>
      </c>
      <c r="BG37" s="281" t="s">
        <v>639</v>
      </c>
      <c r="BH37" s="28" t="s">
        <v>493</v>
      </c>
    </row>
    <row r="38" spans="1:60" s="187" customFormat="1" ht="130.5" x14ac:dyDescent="0.35">
      <c r="A38" s="46"/>
      <c r="B38" s="41"/>
      <c r="C38" s="41"/>
      <c r="D38" s="259"/>
      <c r="E38" s="48"/>
      <c r="F38" s="259"/>
      <c r="G38" s="48"/>
      <c r="H38" s="57"/>
      <c r="I38" s="57"/>
      <c r="J38" s="57"/>
      <c r="K38" s="57"/>
      <c r="L38" s="8"/>
      <c r="M38" s="8"/>
      <c r="N38" s="8"/>
      <c r="O38" s="8"/>
      <c r="P38" s="8"/>
      <c r="Q38" s="180"/>
      <c r="R38" s="181"/>
      <c r="S38" s="181"/>
      <c r="T38" s="181"/>
      <c r="U38" s="180"/>
      <c r="V38" s="260"/>
      <c r="W38" s="41" t="s">
        <v>210</v>
      </c>
      <c r="X38" s="41" t="s">
        <v>700</v>
      </c>
      <c r="Y38" s="57" t="s">
        <v>65</v>
      </c>
      <c r="Z38" s="57" t="s">
        <v>65</v>
      </c>
      <c r="AA38" s="37"/>
      <c r="AB38" s="267" t="s">
        <v>703</v>
      </c>
      <c r="AC38" s="267" t="s">
        <v>704</v>
      </c>
      <c r="AD38" s="268">
        <v>45139</v>
      </c>
      <c r="AE38" s="269">
        <v>45198</v>
      </c>
      <c r="AF38" s="267" t="s">
        <v>705</v>
      </c>
      <c r="AG38" s="266" t="s">
        <v>706</v>
      </c>
      <c r="AH38" s="266">
        <v>2</v>
      </c>
      <c r="AI38" s="267" t="s">
        <v>555</v>
      </c>
      <c r="AJ38" s="48" t="s">
        <v>556</v>
      </c>
      <c r="AK38" s="270"/>
      <c r="AL38" s="271"/>
      <c r="AM38" s="270">
        <v>2</v>
      </c>
      <c r="AN38" s="55"/>
      <c r="AO38" s="270">
        <v>2</v>
      </c>
      <c r="AP38" s="277" t="s">
        <v>308</v>
      </c>
      <c r="AQ38" s="277" t="s">
        <v>707</v>
      </c>
      <c r="AR38" s="278" t="s">
        <v>708</v>
      </c>
      <c r="AS38" s="279" t="s">
        <v>681</v>
      </c>
      <c r="AT38" s="191"/>
      <c r="AU38" s="191"/>
      <c r="AV38" s="191"/>
      <c r="AW38" s="191"/>
      <c r="AX38" s="191"/>
      <c r="AY38" s="191"/>
      <c r="AZ38" s="191"/>
      <c r="BA38" s="191"/>
      <c r="BB38" s="182"/>
      <c r="BC38" s="175"/>
      <c r="BD38" s="175"/>
      <c r="BE38" s="8" t="s">
        <v>308</v>
      </c>
      <c r="BF38" s="8" t="s">
        <v>510</v>
      </c>
      <c r="BG38" s="272" t="s">
        <v>708</v>
      </c>
      <c r="BH38" s="28" t="s">
        <v>493</v>
      </c>
    </row>
    <row r="39" spans="1:60" s="187" customFormat="1" ht="174" x14ac:dyDescent="0.35">
      <c r="A39" s="46"/>
      <c r="B39" s="41"/>
      <c r="C39" s="41"/>
      <c r="D39" s="259"/>
      <c r="E39" s="48"/>
      <c r="F39" s="259"/>
      <c r="G39" s="48"/>
      <c r="H39" s="57"/>
      <c r="I39" s="57"/>
      <c r="J39" s="57"/>
      <c r="K39" s="57"/>
      <c r="L39" s="8"/>
      <c r="M39" s="8"/>
      <c r="N39" s="8"/>
      <c r="O39" s="8"/>
      <c r="P39" s="8"/>
      <c r="Q39" s="180"/>
      <c r="R39" s="181"/>
      <c r="S39" s="181"/>
      <c r="T39" s="181"/>
      <c r="U39" s="180"/>
      <c r="V39" s="260"/>
      <c r="W39" s="41" t="s">
        <v>210</v>
      </c>
      <c r="X39" s="41" t="s">
        <v>700</v>
      </c>
      <c r="Y39" s="57" t="s">
        <v>65</v>
      </c>
      <c r="Z39" s="57" t="s">
        <v>65</v>
      </c>
      <c r="AA39" s="37"/>
      <c r="AB39" s="48" t="s">
        <v>709</v>
      </c>
      <c r="AC39" s="48" t="s">
        <v>710</v>
      </c>
      <c r="AD39" s="42">
        <v>45139</v>
      </c>
      <c r="AE39" s="258">
        <v>45289</v>
      </c>
      <c r="AF39" s="48" t="s">
        <v>711</v>
      </c>
      <c r="AG39" s="8" t="s">
        <v>712</v>
      </c>
      <c r="AH39" s="57">
        <v>2</v>
      </c>
      <c r="AI39" s="48" t="s">
        <v>555</v>
      </c>
      <c r="AJ39" s="41" t="s">
        <v>713</v>
      </c>
      <c r="AK39" s="53"/>
      <c r="AL39" s="55"/>
      <c r="AM39" s="55"/>
      <c r="AN39" s="53">
        <v>2</v>
      </c>
      <c r="AO39" s="53">
        <v>2</v>
      </c>
      <c r="AP39" s="274" t="s">
        <v>308</v>
      </c>
      <c r="AQ39" s="274" t="s">
        <v>510</v>
      </c>
      <c r="AR39" s="275" t="s">
        <v>714</v>
      </c>
      <c r="AS39" s="276" t="s">
        <v>493</v>
      </c>
      <c r="AT39" s="191"/>
      <c r="AU39" s="191"/>
      <c r="AV39" s="191"/>
      <c r="AW39" s="191"/>
      <c r="AX39" s="191"/>
      <c r="AY39" s="191"/>
      <c r="AZ39" s="191"/>
      <c r="BA39" s="191"/>
      <c r="BB39" s="182"/>
      <c r="BC39" s="175"/>
      <c r="BD39" s="175"/>
      <c r="BE39" s="8" t="s">
        <v>308</v>
      </c>
      <c r="BF39" s="8" t="s">
        <v>510</v>
      </c>
      <c r="BG39" s="28" t="s">
        <v>714</v>
      </c>
      <c r="BH39" s="28" t="s">
        <v>493</v>
      </c>
    </row>
    <row r="40" spans="1:60" ht="58" x14ac:dyDescent="0.35">
      <c r="A40" s="54"/>
      <c r="B40" s="54"/>
      <c r="C40" s="41"/>
      <c r="D40" s="241"/>
      <c r="E40" s="41"/>
      <c r="F40" s="241"/>
      <c r="G40" s="241"/>
      <c r="H40" s="8"/>
      <c r="I40" s="8"/>
      <c r="J40" s="8"/>
      <c r="K40" s="8"/>
      <c r="L40" s="8"/>
      <c r="M40" s="8"/>
      <c r="N40" s="8"/>
      <c r="O40" s="8"/>
      <c r="P40" s="8"/>
      <c r="Q40" s="36"/>
      <c r="R40" s="20"/>
      <c r="S40" s="20"/>
      <c r="T40" s="20"/>
      <c r="U40" s="36"/>
      <c r="V40" s="242"/>
      <c r="W40" s="41" t="s">
        <v>210</v>
      </c>
      <c r="X40" s="41" t="s">
        <v>700</v>
      </c>
      <c r="Y40" s="57" t="s">
        <v>65</v>
      </c>
      <c r="Z40" s="57" t="s">
        <v>65</v>
      </c>
      <c r="AA40" s="37"/>
      <c r="AB40" s="41" t="s">
        <v>608</v>
      </c>
      <c r="AC40" s="41" t="s">
        <v>609</v>
      </c>
      <c r="AD40" s="42">
        <v>45170</v>
      </c>
      <c r="AE40" s="258">
        <v>45289</v>
      </c>
      <c r="AF40" s="41" t="s">
        <v>477</v>
      </c>
      <c r="AG40" s="8" t="s">
        <v>86</v>
      </c>
      <c r="AH40" s="57">
        <v>2</v>
      </c>
      <c r="AI40" s="48" t="s">
        <v>555</v>
      </c>
      <c r="AJ40" s="48" t="s">
        <v>556</v>
      </c>
      <c r="AK40" s="53"/>
      <c r="AL40" s="55"/>
      <c r="AM40" s="55"/>
      <c r="AN40" s="53">
        <v>2</v>
      </c>
      <c r="AO40" s="53">
        <v>2</v>
      </c>
      <c r="AP40" s="55"/>
      <c r="AQ40" s="55"/>
      <c r="AR40" s="55"/>
      <c r="AS40" s="69"/>
      <c r="AT40" s="69"/>
      <c r="AU40" s="69"/>
      <c r="AV40" s="69"/>
      <c r="AW40" s="69"/>
      <c r="AX40" s="69"/>
      <c r="AY40" s="69"/>
      <c r="AZ40" s="69"/>
      <c r="BA40" s="69"/>
      <c r="BB40" s="55"/>
      <c r="BC40" s="17"/>
      <c r="BD40" s="17"/>
      <c r="BE40" s="8" t="s">
        <v>308</v>
      </c>
      <c r="BF40" s="8" t="s">
        <v>510</v>
      </c>
      <c r="BG40" s="281" t="s">
        <v>639</v>
      </c>
      <c r="BH40" s="28" t="s">
        <v>493</v>
      </c>
    </row>
    <row r="41" spans="1:60" ht="87" x14ac:dyDescent="0.35">
      <c r="A41" s="46" t="s">
        <v>62</v>
      </c>
      <c r="B41" s="41" t="s">
        <v>63</v>
      </c>
      <c r="C41" s="41" t="s">
        <v>68</v>
      </c>
      <c r="D41" s="241"/>
      <c r="E41" s="48" t="s">
        <v>699</v>
      </c>
      <c r="F41" s="241"/>
      <c r="G41" s="48" t="s">
        <v>604</v>
      </c>
      <c r="H41" s="57" t="s">
        <v>605</v>
      </c>
      <c r="I41" s="57">
        <v>2</v>
      </c>
      <c r="J41" s="57" t="s">
        <v>555</v>
      </c>
      <c r="K41" s="57" t="s">
        <v>556</v>
      </c>
      <c r="L41" s="8">
        <v>2</v>
      </c>
      <c r="M41" s="8"/>
      <c r="N41" s="8"/>
      <c r="O41" s="8"/>
      <c r="P41" s="8">
        <v>2</v>
      </c>
      <c r="Q41" s="36"/>
      <c r="R41" s="20"/>
      <c r="S41" s="20"/>
      <c r="T41" s="20"/>
      <c r="U41" s="36"/>
      <c r="V41" s="242"/>
      <c r="W41" s="41" t="s">
        <v>210</v>
      </c>
      <c r="X41" s="41" t="s">
        <v>700</v>
      </c>
      <c r="Y41" s="57" t="s">
        <v>65</v>
      </c>
      <c r="Z41" s="57" t="s">
        <v>65</v>
      </c>
      <c r="AA41" s="37"/>
      <c r="AB41" s="171" t="s">
        <v>611</v>
      </c>
      <c r="AC41" s="48" t="s">
        <v>612</v>
      </c>
      <c r="AD41" s="42">
        <v>45293</v>
      </c>
      <c r="AE41" s="258">
        <v>45378</v>
      </c>
      <c r="AF41" s="48" t="s">
        <v>613</v>
      </c>
      <c r="AG41" s="48" t="s">
        <v>614</v>
      </c>
      <c r="AH41" s="57">
        <v>3</v>
      </c>
      <c r="AI41" s="48" t="s">
        <v>555</v>
      </c>
      <c r="AJ41" s="48" t="s">
        <v>615</v>
      </c>
      <c r="AK41" s="237">
        <v>3</v>
      </c>
      <c r="AL41" s="238"/>
      <c r="AM41" s="238"/>
      <c r="AN41" s="238"/>
      <c r="AO41" s="237">
        <v>3</v>
      </c>
      <c r="AP41" s="55"/>
      <c r="AQ41" s="55"/>
      <c r="AR41" s="55"/>
      <c r="AS41" s="69"/>
      <c r="AT41" s="69"/>
      <c r="AU41" s="69"/>
      <c r="AV41" s="69"/>
      <c r="AW41" s="69"/>
      <c r="AX41" s="69"/>
      <c r="AY41" s="69"/>
      <c r="AZ41" s="69"/>
      <c r="BA41" s="69"/>
      <c r="BB41" s="55"/>
      <c r="BC41" s="17"/>
      <c r="BD41" s="17"/>
      <c r="BE41" s="8" t="s">
        <v>308</v>
      </c>
      <c r="BF41" s="8" t="s">
        <v>510</v>
      </c>
      <c r="BG41" s="219" t="s">
        <v>715</v>
      </c>
      <c r="BH41" s="28" t="s">
        <v>493</v>
      </c>
    </row>
    <row r="42" spans="1:60" ht="58" x14ac:dyDescent="0.35">
      <c r="A42" s="54"/>
      <c r="B42" s="54"/>
      <c r="C42" s="41"/>
      <c r="D42" s="241"/>
      <c r="E42" s="41"/>
      <c r="F42" s="241"/>
      <c r="G42" s="241"/>
      <c r="H42" s="8"/>
      <c r="I42" s="8"/>
      <c r="J42" s="8"/>
      <c r="K42" s="8"/>
      <c r="L42" s="8"/>
      <c r="M42" s="8"/>
      <c r="N42" s="8"/>
      <c r="O42" s="8"/>
      <c r="P42" s="8"/>
      <c r="Q42" s="36"/>
      <c r="R42" s="20"/>
      <c r="S42" s="20"/>
      <c r="T42" s="20"/>
      <c r="U42" s="36"/>
      <c r="V42" s="242"/>
      <c r="W42" s="41" t="s">
        <v>210</v>
      </c>
      <c r="X42" s="41" t="s">
        <v>700</v>
      </c>
      <c r="Y42" s="57" t="s">
        <v>65</v>
      </c>
      <c r="Z42" s="57" t="s">
        <v>65</v>
      </c>
      <c r="AA42" s="37"/>
      <c r="AB42" s="41" t="s">
        <v>617</v>
      </c>
      <c r="AC42" s="243" t="s">
        <v>618</v>
      </c>
      <c r="AD42" s="42">
        <v>45293</v>
      </c>
      <c r="AE42" s="258">
        <v>45378</v>
      </c>
      <c r="AF42" s="41" t="s">
        <v>619</v>
      </c>
      <c r="AG42" s="41" t="s">
        <v>99</v>
      </c>
      <c r="AH42" s="57">
        <v>2</v>
      </c>
      <c r="AI42" s="48" t="s">
        <v>555</v>
      </c>
      <c r="AJ42" s="48" t="s">
        <v>556</v>
      </c>
      <c r="AK42" s="53">
        <v>2</v>
      </c>
      <c r="AL42" s="55"/>
      <c r="AM42" s="55"/>
      <c r="AN42" s="55"/>
      <c r="AO42" s="53">
        <v>2</v>
      </c>
      <c r="AP42" s="55"/>
      <c r="AQ42" s="55"/>
      <c r="AR42" s="55"/>
      <c r="AS42" s="69"/>
      <c r="AT42" s="69"/>
      <c r="AU42" s="69"/>
      <c r="AV42" s="69"/>
      <c r="AW42" s="69"/>
      <c r="AX42" s="69"/>
      <c r="AY42" s="69"/>
      <c r="AZ42" s="69"/>
      <c r="BA42" s="69"/>
      <c r="BB42" s="55"/>
      <c r="BC42" s="17"/>
      <c r="BD42" s="17"/>
      <c r="BE42" s="8" t="s">
        <v>308</v>
      </c>
      <c r="BF42" s="8" t="s">
        <v>510</v>
      </c>
      <c r="BG42" s="281" t="s">
        <v>639</v>
      </c>
      <c r="BH42" s="28" t="s">
        <v>493</v>
      </c>
    </row>
    <row r="43" spans="1:60" ht="58" x14ac:dyDescent="0.35">
      <c r="A43" s="54"/>
      <c r="B43" s="54"/>
      <c r="C43" s="41"/>
      <c r="D43" s="241"/>
      <c r="E43" s="41"/>
      <c r="F43" s="241"/>
      <c r="G43" s="241"/>
      <c r="H43" s="8"/>
      <c r="I43" s="8"/>
      <c r="J43" s="8"/>
      <c r="K43" s="8"/>
      <c r="L43" s="8"/>
      <c r="M43" s="8"/>
      <c r="N43" s="8"/>
      <c r="O43" s="8"/>
      <c r="P43" s="8"/>
      <c r="Q43" s="36"/>
      <c r="R43" s="20"/>
      <c r="S43" s="20"/>
      <c r="T43" s="20"/>
      <c r="U43" s="36"/>
      <c r="V43" s="242"/>
      <c r="W43" s="41" t="s">
        <v>210</v>
      </c>
      <c r="X43" s="41" t="s">
        <v>700</v>
      </c>
      <c r="Y43" s="57" t="s">
        <v>65</v>
      </c>
      <c r="Z43" s="57" t="s">
        <v>65</v>
      </c>
      <c r="AA43" s="37"/>
      <c r="AB43" s="48" t="s">
        <v>701</v>
      </c>
      <c r="AC43" s="48" t="s">
        <v>702</v>
      </c>
      <c r="AD43" s="42">
        <v>45293</v>
      </c>
      <c r="AE43" s="258">
        <v>45378</v>
      </c>
      <c r="AF43" s="48" t="s">
        <v>604</v>
      </c>
      <c r="AG43" s="48" t="s">
        <v>605</v>
      </c>
      <c r="AH43" s="57">
        <v>2</v>
      </c>
      <c r="AI43" s="48" t="s">
        <v>555</v>
      </c>
      <c r="AJ43" s="48" t="s">
        <v>556</v>
      </c>
      <c r="AK43" s="53">
        <v>2</v>
      </c>
      <c r="AL43" s="55"/>
      <c r="AM43" s="55"/>
      <c r="AN43" s="55"/>
      <c r="AO43" s="53">
        <v>2</v>
      </c>
      <c r="AP43" s="55"/>
      <c r="AQ43" s="55"/>
      <c r="AR43" s="55"/>
      <c r="AS43" s="69"/>
      <c r="AT43" s="69"/>
      <c r="AU43" s="69"/>
      <c r="AV43" s="69"/>
      <c r="AW43" s="69"/>
      <c r="AX43" s="69"/>
      <c r="AY43" s="69"/>
      <c r="AZ43" s="69"/>
      <c r="BA43" s="69"/>
      <c r="BB43" s="55"/>
      <c r="BC43" s="17"/>
      <c r="BD43" s="17"/>
      <c r="BE43" s="8" t="s">
        <v>308</v>
      </c>
      <c r="BF43" s="8" t="s">
        <v>510</v>
      </c>
      <c r="BG43" s="281" t="s">
        <v>639</v>
      </c>
      <c r="BH43" s="28" t="s">
        <v>493</v>
      </c>
    </row>
    <row r="44" spans="1:60" s="187" customFormat="1" ht="58.5" thickBot="1" x14ac:dyDescent="0.4">
      <c r="A44" s="46" t="s">
        <v>62</v>
      </c>
      <c r="B44" s="41" t="s">
        <v>63</v>
      </c>
      <c r="C44" s="41" t="s">
        <v>68</v>
      </c>
      <c r="D44" s="259"/>
      <c r="E44" s="48" t="s">
        <v>716</v>
      </c>
      <c r="F44" s="259"/>
      <c r="G44" s="48" t="s">
        <v>604</v>
      </c>
      <c r="H44" s="57" t="s">
        <v>605</v>
      </c>
      <c r="I44" s="57">
        <v>2</v>
      </c>
      <c r="J44" s="57" t="s">
        <v>555</v>
      </c>
      <c r="K44" s="57" t="s">
        <v>556</v>
      </c>
      <c r="L44" s="8"/>
      <c r="M44" s="8"/>
      <c r="N44" s="8">
        <v>2</v>
      </c>
      <c r="O44" s="8"/>
      <c r="P44" s="8">
        <v>2</v>
      </c>
      <c r="Q44" s="180"/>
      <c r="R44" s="181"/>
      <c r="S44" s="181"/>
      <c r="T44" s="181"/>
      <c r="U44" s="180"/>
      <c r="V44" s="260"/>
      <c r="W44" s="41" t="s">
        <v>210</v>
      </c>
      <c r="X44" s="41" t="s">
        <v>717</v>
      </c>
      <c r="Y44" s="57" t="s">
        <v>65</v>
      </c>
      <c r="Z44" s="57" t="s">
        <v>65</v>
      </c>
      <c r="AA44" s="37"/>
      <c r="AB44" s="282" t="s">
        <v>608</v>
      </c>
      <c r="AC44" s="41" t="s">
        <v>609</v>
      </c>
      <c r="AD44" s="42">
        <v>45170</v>
      </c>
      <c r="AE44" s="258">
        <v>45289</v>
      </c>
      <c r="AF44" s="41" t="s">
        <v>477</v>
      </c>
      <c r="AG44" s="8" t="s">
        <v>86</v>
      </c>
      <c r="AH44" s="57">
        <v>2</v>
      </c>
      <c r="AI44" s="48" t="s">
        <v>555</v>
      </c>
      <c r="AJ44" s="41" t="s">
        <v>610</v>
      </c>
      <c r="AK44" s="53"/>
      <c r="AL44" s="55"/>
      <c r="AM44" s="55"/>
      <c r="AN44" s="53">
        <v>2</v>
      </c>
      <c r="AO44" s="53">
        <v>2</v>
      </c>
      <c r="AP44" s="55"/>
      <c r="AQ44" s="55"/>
      <c r="AR44" s="55"/>
      <c r="AS44" s="69"/>
      <c r="AT44" s="69"/>
      <c r="AU44" s="69"/>
      <c r="AV44" s="69"/>
      <c r="AW44" s="69"/>
      <c r="AX44" s="69"/>
      <c r="AY44" s="69"/>
      <c r="AZ44" s="69"/>
      <c r="BA44" s="69"/>
      <c r="BB44" s="55"/>
      <c r="BC44" s="17"/>
      <c r="BD44" s="17"/>
      <c r="BE44" s="8" t="s">
        <v>308</v>
      </c>
      <c r="BF44" s="8" t="s">
        <v>510</v>
      </c>
      <c r="BG44" s="28" t="s">
        <v>718</v>
      </c>
      <c r="BH44" s="281" t="s">
        <v>718</v>
      </c>
    </row>
    <row r="45" spans="1:60" s="187" customFormat="1" ht="104.5" customHeight="1" x14ac:dyDescent="0.35">
      <c r="A45" s="54"/>
      <c r="B45" s="54"/>
      <c r="C45" s="41"/>
      <c r="D45" s="259"/>
      <c r="E45" s="41"/>
      <c r="F45" s="259"/>
      <c r="G45" s="259"/>
      <c r="H45" s="8"/>
      <c r="I45" s="8"/>
      <c r="J45" s="8"/>
      <c r="K45" s="8"/>
      <c r="L45" s="8"/>
      <c r="M45" s="8"/>
      <c r="N45" s="8"/>
      <c r="O45" s="8"/>
      <c r="P45" s="8"/>
      <c r="Q45" s="180"/>
      <c r="R45" s="181"/>
      <c r="S45" s="181"/>
      <c r="T45" s="181"/>
      <c r="U45" s="180"/>
      <c r="V45" s="260"/>
      <c r="W45" s="41" t="s">
        <v>210</v>
      </c>
      <c r="X45" s="41" t="s">
        <v>717</v>
      </c>
      <c r="Y45" s="57" t="s">
        <v>65</v>
      </c>
      <c r="Z45" s="57" t="s">
        <v>65</v>
      </c>
      <c r="AA45" s="37"/>
      <c r="AB45" s="267" t="s">
        <v>719</v>
      </c>
      <c r="AC45" s="267" t="s">
        <v>720</v>
      </c>
      <c r="AD45" s="268">
        <v>45139</v>
      </c>
      <c r="AE45" s="269">
        <v>45289</v>
      </c>
      <c r="AF45" s="267" t="s">
        <v>477</v>
      </c>
      <c r="AG45" s="266" t="s">
        <v>86</v>
      </c>
      <c r="AH45" s="266">
        <v>2</v>
      </c>
      <c r="AI45" s="267" t="s">
        <v>555</v>
      </c>
      <c r="AJ45" s="41" t="s">
        <v>610</v>
      </c>
      <c r="AK45" s="270"/>
      <c r="AL45" s="271"/>
      <c r="AM45" s="271"/>
      <c r="AN45" s="270">
        <v>2</v>
      </c>
      <c r="AO45" s="270">
        <v>2</v>
      </c>
      <c r="AP45" s="277" t="s">
        <v>308</v>
      </c>
      <c r="AQ45" s="277" t="s">
        <v>510</v>
      </c>
      <c r="AR45" s="278" t="s">
        <v>721</v>
      </c>
      <c r="AS45" s="279" t="s">
        <v>718</v>
      </c>
      <c r="AT45" s="191"/>
      <c r="AU45" s="191"/>
      <c r="AV45" s="191"/>
      <c r="AW45" s="191"/>
      <c r="AX45" s="191"/>
      <c r="AY45" s="191"/>
      <c r="AZ45" s="191"/>
      <c r="BA45" s="191"/>
      <c r="BB45" s="182"/>
      <c r="BC45" s="175"/>
      <c r="BD45" s="175"/>
      <c r="BE45" s="8" t="s">
        <v>308</v>
      </c>
      <c r="BF45" s="8" t="s">
        <v>510</v>
      </c>
      <c r="BG45" s="272" t="s">
        <v>722</v>
      </c>
      <c r="BH45" s="273" t="s">
        <v>718</v>
      </c>
    </row>
    <row r="46" spans="1:60" s="187" customFormat="1" ht="86.5" customHeight="1" x14ac:dyDescent="0.35">
      <c r="A46" s="54"/>
      <c r="B46" s="54"/>
      <c r="C46" s="41"/>
      <c r="D46" s="259"/>
      <c r="E46" s="41"/>
      <c r="F46" s="259"/>
      <c r="G46" s="259"/>
      <c r="H46" s="8"/>
      <c r="I46" s="8"/>
      <c r="J46" s="8"/>
      <c r="K46" s="8"/>
      <c r="L46" s="8"/>
      <c r="M46" s="8"/>
      <c r="N46" s="8"/>
      <c r="O46" s="8"/>
      <c r="P46" s="8"/>
      <c r="Q46" s="180"/>
      <c r="R46" s="181"/>
      <c r="S46" s="181"/>
      <c r="T46" s="181"/>
      <c r="U46" s="180"/>
      <c r="V46" s="260"/>
      <c r="W46" s="41" t="s">
        <v>210</v>
      </c>
      <c r="X46" s="41" t="s">
        <v>717</v>
      </c>
      <c r="Y46" s="57" t="s">
        <v>65</v>
      </c>
      <c r="Z46" s="57" t="s">
        <v>65</v>
      </c>
      <c r="AA46" s="37"/>
      <c r="AB46" s="41" t="s">
        <v>723</v>
      </c>
      <c r="AC46" s="243" t="s">
        <v>724</v>
      </c>
      <c r="AD46" s="42">
        <v>45139</v>
      </c>
      <c r="AE46" s="258">
        <v>45289</v>
      </c>
      <c r="AF46" s="41" t="s">
        <v>676</v>
      </c>
      <c r="AG46" s="8" t="s">
        <v>725</v>
      </c>
      <c r="AH46" s="57">
        <v>2</v>
      </c>
      <c r="AI46" s="48" t="s">
        <v>555</v>
      </c>
      <c r="AJ46" s="41" t="s">
        <v>726</v>
      </c>
      <c r="AK46" s="53"/>
      <c r="AL46" s="55"/>
      <c r="AM46" s="55"/>
      <c r="AN46" s="53">
        <v>2</v>
      </c>
      <c r="AO46" s="53">
        <v>2</v>
      </c>
      <c r="AP46" s="274" t="s">
        <v>308</v>
      </c>
      <c r="AQ46" s="274" t="s">
        <v>510</v>
      </c>
      <c r="AR46" s="275" t="s">
        <v>721</v>
      </c>
      <c r="AS46" s="276" t="s">
        <v>718</v>
      </c>
      <c r="AT46" s="191"/>
      <c r="AU46" s="191"/>
      <c r="AV46" s="191"/>
      <c r="AW46" s="191"/>
      <c r="AX46" s="191"/>
      <c r="AY46" s="191"/>
      <c r="AZ46" s="191"/>
      <c r="BA46" s="191"/>
      <c r="BB46" s="182"/>
      <c r="BC46" s="175"/>
      <c r="BD46" s="175"/>
      <c r="BE46" s="8" t="s">
        <v>308</v>
      </c>
      <c r="BF46" s="8" t="s">
        <v>510</v>
      </c>
      <c r="BG46" s="28" t="s">
        <v>722</v>
      </c>
      <c r="BH46" s="281" t="s">
        <v>718</v>
      </c>
    </row>
    <row r="47" spans="1:60" ht="87" x14ac:dyDescent="0.35">
      <c r="A47" s="46" t="s">
        <v>62</v>
      </c>
      <c r="B47" s="41" t="s">
        <v>63</v>
      </c>
      <c r="C47" s="41" t="s">
        <v>68</v>
      </c>
      <c r="D47" s="241"/>
      <c r="E47" s="48" t="s">
        <v>716</v>
      </c>
      <c r="F47" s="241"/>
      <c r="G47" s="48" t="s">
        <v>604</v>
      </c>
      <c r="H47" s="57" t="s">
        <v>605</v>
      </c>
      <c r="I47" s="57">
        <v>2</v>
      </c>
      <c r="J47" s="57" t="s">
        <v>555</v>
      </c>
      <c r="K47" s="57" t="s">
        <v>556</v>
      </c>
      <c r="L47" s="8">
        <v>2</v>
      </c>
      <c r="M47" s="8"/>
      <c r="N47" s="8"/>
      <c r="O47" s="8"/>
      <c r="P47" s="8">
        <v>2</v>
      </c>
      <c r="Q47" s="36"/>
      <c r="R47" s="20"/>
      <c r="S47" s="20"/>
      <c r="T47" s="20"/>
      <c r="U47" s="36"/>
      <c r="V47" s="242"/>
      <c r="W47" s="41" t="s">
        <v>210</v>
      </c>
      <c r="X47" s="41" t="s">
        <v>717</v>
      </c>
      <c r="Y47" s="57" t="s">
        <v>65</v>
      </c>
      <c r="Z47" s="57" t="s">
        <v>65</v>
      </c>
      <c r="AA47" s="37"/>
      <c r="AB47" s="282" t="s">
        <v>611</v>
      </c>
      <c r="AC47" s="48" t="s">
        <v>612</v>
      </c>
      <c r="AD47" s="42">
        <v>45293</v>
      </c>
      <c r="AE47" s="258">
        <v>45378</v>
      </c>
      <c r="AF47" s="48" t="s">
        <v>613</v>
      </c>
      <c r="AG47" s="48" t="s">
        <v>614</v>
      </c>
      <c r="AH47" s="57">
        <v>3</v>
      </c>
      <c r="AI47" s="48" t="s">
        <v>555</v>
      </c>
      <c r="AJ47" s="48" t="s">
        <v>666</v>
      </c>
      <c r="AK47" s="237">
        <v>3</v>
      </c>
      <c r="AL47" s="238"/>
      <c r="AM47" s="238"/>
      <c r="AN47" s="238"/>
      <c r="AO47" s="237">
        <v>3</v>
      </c>
      <c r="AP47" s="55"/>
      <c r="AQ47" s="55"/>
      <c r="AR47" s="55"/>
      <c r="AS47" s="69"/>
      <c r="AT47" s="69"/>
      <c r="AU47" s="69"/>
      <c r="AV47" s="69"/>
      <c r="AW47" s="69"/>
      <c r="AX47" s="69"/>
      <c r="AY47" s="69"/>
      <c r="AZ47" s="69"/>
      <c r="BA47" s="69"/>
      <c r="BB47" s="55"/>
      <c r="BC47" s="17"/>
      <c r="BD47" s="17"/>
      <c r="BE47" s="8" t="s">
        <v>308</v>
      </c>
      <c r="BF47" s="8" t="s">
        <v>510</v>
      </c>
      <c r="BG47" s="28" t="s">
        <v>727</v>
      </c>
      <c r="BH47" s="281" t="s">
        <v>718</v>
      </c>
    </row>
    <row r="48" spans="1:60" ht="58.5" thickBot="1" x14ac:dyDescent="0.4">
      <c r="A48" s="46"/>
      <c r="B48" s="41"/>
      <c r="C48" s="41"/>
      <c r="D48" s="241"/>
      <c r="E48" s="48"/>
      <c r="F48" s="241"/>
      <c r="G48" s="48"/>
      <c r="H48" s="57"/>
      <c r="I48" s="57"/>
      <c r="J48" s="57"/>
      <c r="K48" s="57"/>
      <c r="L48" s="8"/>
      <c r="M48" s="8"/>
      <c r="N48" s="8"/>
      <c r="O48" s="8"/>
      <c r="P48" s="8"/>
      <c r="Q48" s="36"/>
      <c r="R48" s="20"/>
      <c r="S48" s="20"/>
      <c r="T48" s="20"/>
      <c r="U48" s="36"/>
      <c r="V48" s="242"/>
      <c r="W48" s="41" t="s">
        <v>210</v>
      </c>
      <c r="X48" s="41" t="s">
        <v>717</v>
      </c>
      <c r="Y48" s="57" t="s">
        <v>65</v>
      </c>
      <c r="Z48" s="57" t="s">
        <v>65</v>
      </c>
      <c r="AA48" s="37"/>
      <c r="AB48" s="41" t="s">
        <v>617</v>
      </c>
      <c r="AC48" s="243" t="s">
        <v>618</v>
      </c>
      <c r="AD48" s="42">
        <v>45293</v>
      </c>
      <c r="AE48" s="258">
        <v>45378</v>
      </c>
      <c r="AF48" s="41" t="s">
        <v>619</v>
      </c>
      <c r="AG48" s="41" t="s">
        <v>99</v>
      </c>
      <c r="AH48" s="57">
        <v>2</v>
      </c>
      <c r="AI48" s="48" t="s">
        <v>555</v>
      </c>
      <c r="AJ48" s="41" t="s">
        <v>610</v>
      </c>
      <c r="AK48" s="53">
        <v>2</v>
      </c>
      <c r="AL48" s="55"/>
      <c r="AM48" s="55"/>
      <c r="AN48" s="55"/>
      <c r="AO48" s="53">
        <v>2</v>
      </c>
      <c r="AP48" s="55"/>
      <c r="AQ48" s="55"/>
      <c r="AR48" s="55"/>
      <c r="AS48" s="69"/>
      <c r="AT48" s="69"/>
      <c r="AU48" s="69"/>
      <c r="AV48" s="69"/>
      <c r="AW48" s="69"/>
      <c r="AX48" s="69"/>
      <c r="AY48" s="69"/>
      <c r="AZ48" s="69"/>
      <c r="BA48" s="69"/>
      <c r="BB48" s="55"/>
      <c r="BC48" s="17"/>
      <c r="BD48" s="17"/>
      <c r="BE48" s="8" t="s">
        <v>308</v>
      </c>
      <c r="BF48" s="8" t="s">
        <v>510</v>
      </c>
      <c r="BG48" s="283" t="s">
        <v>673</v>
      </c>
      <c r="BH48" s="284" t="s">
        <v>718</v>
      </c>
    </row>
    <row r="49" spans="1:60" s="187" customFormat="1" ht="58" x14ac:dyDescent="0.35">
      <c r="A49" s="46" t="s">
        <v>62</v>
      </c>
      <c r="B49" s="41" t="s">
        <v>63</v>
      </c>
      <c r="C49" s="41" t="s">
        <v>68</v>
      </c>
      <c r="D49" s="259"/>
      <c r="E49" s="48" t="s">
        <v>728</v>
      </c>
      <c r="F49" s="259"/>
      <c r="G49" s="48" t="s">
        <v>604</v>
      </c>
      <c r="H49" s="57" t="s">
        <v>605</v>
      </c>
      <c r="I49" s="57">
        <v>2</v>
      </c>
      <c r="J49" s="57" t="s">
        <v>555</v>
      </c>
      <c r="K49" s="57" t="s">
        <v>622</v>
      </c>
      <c r="L49" s="8"/>
      <c r="M49" s="8"/>
      <c r="N49" s="8">
        <v>2</v>
      </c>
      <c r="O49" s="8"/>
      <c r="P49" s="8">
        <v>2</v>
      </c>
      <c r="Q49" s="180"/>
      <c r="R49" s="181"/>
      <c r="S49" s="181"/>
      <c r="T49" s="181"/>
      <c r="U49" s="180"/>
      <c r="V49" s="260"/>
      <c r="W49" s="41" t="s">
        <v>210</v>
      </c>
      <c r="X49" s="41" t="s">
        <v>364</v>
      </c>
      <c r="Y49" s="57" t="s">
        <v>65</v>
      </c>
      <c r="Z49" s="57" t="s">
        <v>65</v>
      </c>
      <c r="AA49" s="37"/>
      <c r="AB49" s="171" t="s">
        <v>729</v>
      </c>
      <c r="AC49" s="285" t="s">
        <v>730</v>
      </c>
      <c r="AD49" s="42">
        <v>45139</v>
      </c>
      <c r="AE49" s="258">
        <v>45289</v>
      </c>
      <c r="AF49" s="41" t="s">
        <v>477</v>
      </c>
      <c r="AG49" s="41" t="s">
        <v>86</v>
      </c>
      <c r="AH49" s="57">
        <v>2</v>
      </c>
      <c r="AI49" s="48" t="s">
        <v>555</v>
      </c>
      <c r="AJ49" s="41" t="s">
        <v>556</v>
      </c>
      <c r="AK49" s="53"/>
      <c r="AL49" s="55"/>
      <c r="AM49" s="55"/>
      <c r="AN49" s="53">
        <v>2</v>
      </c>
      <c r="AO49" s="53">
        <v>2</v>
      </c>
      <c r="AP49" s="182"/>
      <c r="AQ49" s="182"/>
      <c r="AR49" s="182"/>
      <c r="AS49" s="191"/>
      <c r="AT49" s="191"/>
      <c r="AU49" s="191"/>
      <c r="AV49" s="191"/>
      <c r="AW49" s="191"/>
      <c r="AX49" s="191"/>
      <c r="AY49" s="191"/>
      <c r="AZ49" s="191"/>
      <c r="BA49" s="191"/>
      <c r="BB49" s="182"/>
      <c r="BC49" s="175"/>
      <c r="BD49" s="175"/>
      <c r="BE49" s="8" t="s">
        <v>505</v>
      </c>
      <c r="BF49" s="28" t="s">
        <v>518</v>
      </c>
      <c r="BG49" s="28" t="s">
        <v>296</v>
      </c>
      <c r="BH49" s="28" t="s">
        <v>297</v>
      </c>
    </row>
    <row r="50" spans="1:60" s="187" customFormat="1" ht="130.5" x14ac:dyDescent="0.35">
      <c r="A50" s="46"/>
      <c r="B50" s="41"/>
      <c r="C50" s="41"/>
      <c r="D50" s="259"/>
      <c r="E50" s="48"/>
      <c r="F50" s="259"/>
      <c r="G50" s="48"/>
      <c r="H50" s="57"/>
      <c r="I50" s="57"/>
      <c r="J50" s="57"/>
      <c r="K50" s="57"/>
      <c r="L50" s="8"/>
      <c r="M50" s="8"/>
      <c r="N50" s="8"/>
      <c r="O50" s="8"/>
      <c r="P50" s="8"/>
      <c r="Q50" s="180"/>
      <c r="R50" s="181"/>
      <c r="S50" s="181"/>
      <c r="T50" s="181"/>
      <c r="U50" s="180"/>
      <c r="V50" s="260"/>
      <c r="W50" s="41" t="s">
        <v>210</v>
      </c>
      <c r="X50" s="41" t="s">
        <v>364</v>
      </c>
      <c r="Y50" s="57" t="s">
        <v>65</v>
      </c>
      <c r="Z50" s="57" t="s">
        <v>65</v>
      </c>
      <c r="AA50" s="37"/>
      <c r="AB50" s="41" t="s">
        <v>731</v>
      </c>
      <c r="AC50" s="285" t="s">
        <v>732</v>
      </c>
      <c r="AD50" s="42">
        <v>45139</v>
      </c>
      <c r="AE50" s="258">
        <v>45289</v>
      </c>
      <c r="AF50" s="48" t="s">
        <v>613</v>
      </c>
      <c r="AG50" s="48" t="s">
        <v>614</v>
      </c>
      <c r="AH50" s="57">
        <v>2</v>
      </c>
      <c r="AI50" s="48" t="s">
        <v>555</v>
      </c>
      <c r="AJ50" s="48" t="s">
        <v>733</v>
      </c>
      <c r="AK50" s="53"/>
      <c r="AL50" s="55"/>
      <c r="AM50" s="55"/>
      <c r="AN50" s="53">
        <v>2</v>
      </c>
      <c r="AO50" s="53">
        <v>2</v>
      </c>
      <c r="AP50" s="182"/>
      <c r="AQ50" s="182"/>
      <c r="AR50" s="182"/>
      <c r="AS50" s="191"/>
      <c r="AT50" s="191"/>
      <c r="AU50" s="191"/>
      <c r="AV50" s="191"/>
      <c r="AW50" s="191"/>
      <c r="AX50" s="191"/>
      <c r="AY50" s="191"/>
      <c r="AZ50" s="191"/>
      <c r="BA50" s="191"/>
      <c r="BB50" s="182"/>
      <c r="BC50" s="175"/>
      <c r="BD50" s="175"/>
      <c r="BE50" s="8" t="s">
        <v>505</v>
      </c>
      <c r="BF50" s="28" t="s">
        <v>518</v>
      </c>
      <c r="BG50" s="28" t="s">
        <v>297</v>
      </c>
      <c r="BH50" s="28" t="s">
        <v>297</v>
      </c>
    </row>
    <row r="51" spans="1:60" ht="43.5" x14ac:dyDescent="0.35">
      <c r="A51" s="46"/>
      <c r="B51" s="41"/>
      <c r="C51" s="41"/>
      <c r="D51" s="259"/>
      <c r="E51" s="48"/>
      <c r="F51" s="259"/>
      <c r="G51" s="48"/>
      <c r="H51" s="57"/>
      <c r="I51" s="57"/>
      <c r="J51" s="57"/>
      <c r="K51" s="57"/>
      <c r="L51" s="8"/>
      <c r="M51" s="8"/>
      <c r="N51" s="8"/>
      <c r="O51" s="8"/>
      <c r="P51" s="8"/>
      <c r="Q51" s="36"/>
      <c r="R51" s="20"/>
      <c r="S51" s="20"/>
      <c r="T51" s="20"/>
      <c r="U51" s="36"/>
      <c r="V51" s="242"/>
      <c r="W51" s="41" t="s">
        <v>210</v>
      </c>
      <c r="X51" s="41" t="s">
        <v>364</v>
      </c>
      <c r="Y51" s="57" t="s">
        <v>65</v>
      </c>
      <c r="Z51" s="57" t="s">
        <v>65</v>
      </c>
      <c r="AA51" s="37"/>
      <c r="AB51" s="41" t="s">
        <v>608</v>
      </c>
      <c r="AC51" s="243" t="s">
        <v>609</v>
      </c>
      <c r="AD51" s="42">
        <v>45170</v>
      </c>
      <c r="AE51" s="258">
        <v>45289</v>
      </c>
      <c r="AF51" s="41" t="s">
        <v>477</v>
      </c>
      <c r="AG51" s="41" t="s">
        <v>86</v>
      </c>
      <c r="AH51" s="57">
        <v>2</v>
      </c>
      <c r="AI51" s="48" t="s">
        <v>555</v>
      </c>
      <c r="AJ51" s="41" t="s">
        <v>610</v>
      </c>
      <c r="AK51" s="53"/>
      <c r="AL51" s="55"/>
      <c r="AM51" s="55"/>
      <c r="AN51" s="53">
        <v>2</v>
      </c>
      <c r="AO51" s="53">
        <v>2</v>
      </c>
      <c r="AP51" s="55"/>
      <c r="AQ51" s="55"/>
      <c r="AR51" s="55"/>
      <c r="AS51" s="69"/>
      <c r="AT51" s="69"/>
      <c r="AU51" s="69"/>
      <c r="AV51" s="69"/>
      <c r="AW51" s="69"/>
      <c r="AX51" s="69"/>
      <c r="AY51" s="69"/>
      <c r="AZ51" s="69"/>
      <c r="BA51" s="69"/>
      <c r="BB51" s="55"/>
      <c r="BC51" s="17"/>
      <c r="BD51" s="17"/>
      <c r="BE51" s="8" t="s">
        <v>505</v>
      </c>
      <c r="BF51" s="28" t="s">
        <v>518</v>
      </c>
      <c r="BG51" s="28" t="s">
        <v>296</v>
      </c>
      <c r="BH51" s="28" t="s">
        <v>297</v>
      </c>
    </row>
    <row r="52" spans="1:60" ht="87" x14ac:dyDescent="0.35">
      <c r="A52" s="46" t="s">
        <v>62</v>
      </c>
      <c r="B52" s="41" t="s">
        <v>63</v>
      </c>
      <c r="C52" s="41" t="s">
        <v>68</v>
      </c>
      <c r="D52" s="259"/>
      <c r="E52" s="48" t="s">
        <v>728</v>
      </c>
      <c r="F52" s="259"/>
      <c r="G52" s="48" t="s">
        <v>604</v>
      </c>
      <c r="H52" s="57" t="s">
        <v>605</v>
      </c>
      <c r="I52" s="57">
        <v>2</v>
      </c>
      <c r="J52" s="57" t="s">
        <v>555</v>
      </c>
      <c r="K52" s="57" t="s">
        <v>622</v>
      </c>
      <c r="L52" s="8">
        <v>2</v>
      </c>
      <c r="M52" s="8"/>
      <c r="N52" s="8"/>
      <c r="O52" s="8"/>
      <c r="P52" s="8">
        <v>2</v>
      </c>
      <c r="Q52" s="36"/>
      <c r="R52" s="20"/>
      <c r="S52" s="20"/>
      <c r="T52" s="20"/>
      <c r="U52" s="36"/>
      <c r="V52" s="242"/>
      <c r="W52" s="41" t="s">
        <v>210</v>
      </c>
      <c r="X52" s="41" t="s">
        <v>364</v>
      </c>
      <c r="Y52" s="57" t="s">
        <v>65</v>
      </c>
      <c r="Z52" s="57" t="s">
        <v>65</v>
      </c>
      <c r="AA52" s="37"/>
      <c r="AB52" s="171" t="s">
        <v>611</v>
      </c>
      <c r="AC52" s="48" t="s">
        <v>612</v>
      </c>
      <c r="AD52" s="42">
        <v>45293</v>
      </c>
      <c r="AE52" s="258">
        <v>45378</v>
      </c>
      <c r="AF52" s="48" t="s">
        <v>613</v>
      </c>
      <c r="AG52" s="48" t="s">
        <v>614</v>
      </c>
      <c r="AH52" s="57">
        <v>3</v>
      </c>
      <c r="AI52" s="48" t="s">
        <v>555</v>
      </c>
      <c r="AJ52" s="48" t="s">
        <v>615</v>
      </c>
      <c r="AK52" s="237">
        <v>3</v>
      </c>
      <c r="AL52" s="238"/>
      <c r="AM52" s="238"/>
      <c r="AN52" s="238"/>
      <c r="AO52" s="237">
        <v>3</v>
      </c>
      <c r="AP52" s="55"/>
      <c r="AQ52" s="55"/>
      <c r="AR52" s="55"/>
      <c r="AS52" s="69"/>
      <c r="AT52" s="69"/>
      <c r="AU52" s="69"/>
      <c r="AV52" s="69"/>
      <c r="AW52" s="69"/>
      <c r="AX52" s="69"/>
      <c r="AY52" s="69"/>
      <c r="AZ52" s="69"/>
      <c r="BA52" s="69"/>
      <c r="BB52" s="55"/>
      <c r="BC52" s="17"/>
      <c r="BD52" s="17"/>
      <c r="BE52" s="8" t="s">
        <v>505</v>
      </c>
      <c r="BF52" s="28" t="s">
        <v>518</v>
      </c>
      <c r="BG52" s="28" t="s">
        <v>734</v>
      </c>
      <c r="BH52" s="28" t="s">
        <v>297</v>
      </c>
    </row>
    <row r="53" spans="1:60" ht="43.5" x14ac:dyDescent="0.35">
      <c r="A53" s="46"/>
      <c r="B53" s="41"/>
      <c r="C53" s="41"/>
      <c r="D53" s="259"/>
      <c r="E53" s="48"/>
      <c r="F53" s="259"/>
      <c r="G53" s="48"/>
      <c r="H53" s="57"/>
      <c r="I53" s="57"/>
      <c r="J53" s="57"/>
      <c r="K53" s="57"/>
      <c r="L53" s="8"/>
      <c r="M53" s="8"/>
      <c r="N53" s="8"/>
      <c r="O53" s="8"/>
      <c r="P53" s="8"/>
      <c r="Q53" s="36"/>
      <c r="R53" s="20"/>
      <c r="S53" s="20"/>
      <c r="T53" s="20"/>
      <c r="U53" s="36"/>
      <c r="V53" s="242"/>
      <c r="W53" s="41" t="s">
        <v>210</v>
      </c>
      <c r="X53" s="41" t="s">
        <v>364</v>
      </c>
      <c r="Y53" s="57" t="s">
        <v>65</v>
      </c>
      <c r="Z53" s="57" t="s">
        <v>65</v>
      </c>
      <c r="AA53" s="37"/>
      <c r="AB53" s="41" t="s">
        <v>617</v>
      </c>
      <c r="AC53" s="243" t="s">
        <v>618</v>
      </c>
      <c r="AD53" s="42">
        <v>45293</v>
      </c>
      <c r="AE53" s="258">
        <v>45378</v>
      </c>
      <c r="AF53" s="41" t="s">
        <v>619</v>
      </c>
      <c r="AG53" s="41" t="s">
        <v>99</v>
      </c>
      <c r="AH53" s="57">
        <v>2</v>
      </c>
      <c r="AI53" s="48" t="s">
        <v>555</v>
      </c>
      <c r="AJ53" s="41" t="s">
        <v>610</v>
      </c>
      <c r="AK53" s="53">
        <v>3</v>
      </c>
      <c r="AL53" s="55"/>
      <c r="AM53" s="55"/>
      <c r="AN53" s="55"/>
      <c r="AO53" s="53">
        <v>2</v>
      </c>
      <c r="AP53" s="55"/>
      <c r="AQ53" s="55"/>
      <c r="AR53" s="55"/>
      <c r="AS53" s="69"/>
      <c r="AT53" s="69"/>
      <c r="AU53" s="69"/>
      <c r="AV53" s="69"/>
      <c r="AW53" s="69"/>
      <c r="AX53" s="69"/>
      <c r="AY53" s="69"/>
      <c r="AZ53" s="69"/>
      <c r="BA53" s="69"/>
      <c r="BB53" s="55"/>
      <c r="BC53" s="17"/>
      <c r="BD53" s="17"/>
      <c r="BE53" s="8" t="s">
        <v>505</v>
      </c>
      <c r="BF53" s="28" t="s">
        <v>518</v>
      </c>
      <c r="BG53" s="28" t="s">
        <v>296</v>
      </c>
      <c r="BH53" s="28" t="s">
        <v>297</v>
      </c>
    </row>
    <row r="54" spans="1:60" s="187" customFormat="1" ht="72.5" x14ac:dyDescent="0.35">
      <c r="A54" s="46" t="s">
        <v>62</v>
      </c>
      <c r="B54" s="41" t="s">
        <v>63</v>
      </c>
      <c r="C54" s="41" t="s">
        <v>68</v>
      </c>
      <c r="D54" s="259"/>
      <c r="E54" s="48" t="s">
        <v>735</v>
      </c>
      <c r="F54" s="259"/>
      <c r="G54" s="48" t="s">
        <v>604</v>
      </c>
      <c r="H54" s="57" t="s">
        <v>605</v>
      </c>
      <c r="I54" s="57">
        <v>2</v>
      </c>
      <c r="J54" s="57" t="s">
        <v>555</v>
      </c>
      <c r="K54" s="57" t="s">
        <v>622</v>
      </c>
      <c r="L54" s="8"/>
      <c r="M54" s="8"/>
      <c r="N54" s="8">
        <v>2</v>
      </c>
      <c r="O54" s="8"/>
      <c r="P54" s="8">
        <v>2</v>
      </c>
      <c r="Q54" s="180"/>
      <c r="R54" s="181"/>
      <c r="S54" s="181"/>
      <c r="T54" s="181"/>
      <c r="U54" s="180"/>
      <c r="V54" s="260"/>
      <c r="W54" s="41" t="s">
        <v>210</v>
      </c>
      <c r="X54" s="41" t="s">
        <v>736</v>
      </c>
      <c r="Y54" s="57" t="s">
        <v>65</v>
      </c>
      <c r="Z54" s="57" t="s">
        <v>65</v>
      </c>
      <c r="AA54" s="37"/>
      <c r="AB54" s="171" t="s">
        <v>737</v>
      </c>
      <c r="AC54" s="285" t="s">
        <v>738</v>
      </c>
      <c r="AD54" s="42">
        <v>45139</v>
      </c>
      <c r="AE54" s="258">
        <v>45289</v>
      </c>
      <c r="AF54" s="41" t="s">
        <v>739</v>
      </c>
      <c r="AG54" s="41" t="s">
        <v>740</v>
      </c>
      <c r="AH54" s="57">
        <v>2</v>
      </c>
      <c r="AI54" s="48" t="s">
        <v>555</v>
      </c>
      <c r="AJ54" s="41" t="s">
        <v>556</v>
      </c>
      <c r="AK54" s="53"/>
      <c r="AL54" s="55"/>
      <c r="AM54" s="55"/>
      <c r="AN54" s="53">
        <v>2</v>
      </c>
      <c r="AO54" s="53">
        <v>2</v>
      </c>
      <c r="AP54" s="182"/>
      <c r="AQ54" s="182"/>
      <c r="AR54" s="182"/>
      <c r="AS54" s="191"/>
      <c r="AT54" s="191"/>
      <c r="AU54" s="191"/>
      <c r="AV54" s="191"/>
      <c r="AW54" s="191"/>
      <c r="AX54" s="191"/>
      <c r="AY54" s="191"/>
      <c r="AZ54" s="191"/>
      <c r="BA54" s="191"/>
      <c r="BB54" s="182"/>
      <c r="BC54" s="175"/>
      <c r="BD54" s="175"/>
      <c r="BE54" s="8" t="s">
        <v>505</v>
      </c>
      <c r="BF54" s="8" t="s">
        <v>92</v>
      </c>
      <c r="BG54" s="28" t="s">
        <v>557</v>
      </c>
      <c r="BH54" s="28" t="s">
        <v>297</v>
      </c>
    </row>
    <row r="55" spans="1:60" s="187" customFormat="1" ht="43.5" x14ac:dyDescent="0.35">
      <c r="A55" s="46"/>
      <c r="B55" s="41"/>
      <c r="C55" s="41"/>
      <c r="D55" s="259"/>
      <c r="E55" s="48"/>
      <c r="F55" s="259"/>
      <c r="G55" s="48"/>
      <c r="H55" s="57"/>
      <c r="I55" s="57"/>
      <c r="J55" s="57"/>
      <c r="K55" s="57"/>
      <c r="L55" s="8"/>
      <c r="M55" s="8"/>
      <c r="N55" s="8"/>
      <c r="O55" s="8"/>
      <c r="P55" s="8"/>
      <c r="Q55" s="180"/>
      <c r="R55" s="181"/>
      <c r="S55" s="181"/>
      <c r="T55" s="181"/>
      <c r="U55" s="180"/>
      <c r="V55" s="260"/>
      <c r="W55" s="41" t="s">
        <v>210</v>
      </c>
      <c r="X55" s="41" t="s">
        <v>736</v>
      </c>
      <c r="Y55" s="57" t="s">
        <v>65</v>
      </c>
      <c r="Z55" s="57" t="s">
        <v>65</v>
      </c>
      <c r="AA55" s="37"/>
      <c r="AB55" s="41" t="s">
        <v>741</v>
      </c>
      <c r="AC55" s="285" t="s">
        <v>742</v>
      </c>
      <c r="AD55" s="42">
        <v>45139</v>
      </c>
      <c r="AE55" s="258">
        <v>45289</v>
      </c>
      <c r="AF55" s="48" t="s">
        <v>613</v>
      </c>
      <c r="AG55" s="48" t="s">
        <v>614</v>
      </c>
      <c r="AH55" s="57">
        <v>2</v>
      </c>
      <c r="AI55" s="48" t="s">
        <v>555</v>
      </c>
      <c r="AJ55" s="48" t="s">
        <v>733</v>
      </c>
      <c r="AK55" s="53"/>
      <c r="AL55" s="55"/>
      <c r="AM55" s="55"/>
      <c r="AN55" s="53">
        <v>2</v>
      </c>
      <c r="AO55" s="53">
        <v>2</v>
      </c>
      <c r="AP55" s="182"/>
      <c r="AQ55" s="182"/>
      <c r="AR55" s="182"/>
      <c r="AS55" s="191"/>
      <c r="AT55" s="191"/>
      <c r="AU55" s="191"/>
      <c r="AV55" s="191"/>
      <c r="AW55" s="191"/>
      <c r="AX55" s="191"/>
      <c r="AY55" s="191"/>
      <c r="AZ55" s="191"/>
      <c r="BA55" s="191"/>
      <c r="BB55" s="182"/>
      <c r="BC55" s="175"/>
      <c r="BD55" s="175"/>
      <c r="BE55" s="8" t="s">
        <v>505</v>
      </c>
      <c r="BF55" s="8" t="s">
        <v>92</v>
      </c>
      <c r="BG55" s="28" t="s">
        <v>297</v>
      </c>
      <c r="BH55" s="28" t="s">
        <v>297</v>
      </c>
    </row>
    <row r="56" spans="1:60" ht="72.5" x14ac:dyDescent="0.35">
      <c r="A56" s="46"/>
      <c r="B56" s="41"/>
      <c r="C56" s="41"/>
      <c r="D56" s="241"/>
      <c r="E56" s="48"/>
      <c r="F56" s="241"/>
      <c r="G56" s="48"/>
      <c r="H56" s="57"/>
      <c r="I56" s="57"/>
      <c r="J56" s="57"/>
      <c r="K56" s="57"/>
      <c r="L56" s="8"/>
      <c r="M56" s="8"/>
      <c r="N56" s="8"/>
      <c r="O56" s="8"/>
      <c r="P56" s="8"/>
      <c r="Q56" s="36"/>
      <c r="R56" s="20"/>
      <c r="S56" s="20"/>
      <c r="T56" s="20"/>
      <c r="U56" s="36"/>
      <c r="V56" s="242"/>
      <c r="W56" s="41" t="s">
        <v>210</v>
      </c>
      <c r="X56" s="41" t="s">
        <v>736</v>
      </c>
      <c r="Y56" s="57" t="s">
        <v>65</v>
      </c>
      <c r="Z56" s="57" t="s">
        <v>65</v>
      </c>
      <c r="AA56" s="37"/>
      <c r="AB56" s="41" t="s">
        <v>608</v>
      </c>
      <c r="AC56" s="243" t="s">
        <v>609</v>
      </c>
      <c r="AD56" s="42">
        <v>45170</v>
      </c>
      <c r="AE56" s="258">
        <v>45289</v>
      </c>
      <c r="AF56" s="41" t="s">
        <v>477</v>
      </c>
      <c r="AG56" s="41" t="s">
        <v>86</v>
      </c>
      <c r="AH56" s="57">
        <v>2</v>
      </c>
      <c r="AI56" s="48" t="s">
        <v>555</v>
      </c>
      <c r="AJ56" s="41" t="s">
        <v>610</v>
      </c>
      <c r="AK56" s="53"/>
      <c r="AL56" s="55"/>
      <c r="AM56" s="55"/>
      <c r="AN56" s="53">
        <v>2</v>
      </c>
      <c r="AO56" s="53">
        <v>2</v>
      </c>
      <c r="AP56" s="55"/>
      <c r="AQ56" s="55"/>
      <c r="AR56" s="55"/>
      <c r="AS56" s="69"/>
      <c r="AT56" s="69"/>
      <c r="AU56" s="69"/>
      <c r="AV56" s="69"/>
      <c r="AW56" s="69"/>
      <c r="AX56" s="69"/>
      <c r="AY56" s="69"/>
      <c r="AZ56" s="69"/>
      <c r="BA56" s="69"/>
      <c r="BB56" s="55"/>
      <c r="BC56" s="17"/>
      <c r="BD56" s="17"/>
      <c r="BE56" s="8" t="s">
        <v>505</v>
      </c>
      <c r="BF56" s="8" t="s">
        <v>92</v>
      </c>
      <c r="BG56" s="28" t="s">
        <v>557</v>
      </c>
      <c r="BH56" s="28" t="s">
        <v>297</v>
      </c>
    </row>
    <row r="57" spans="1:60" ht="87" x14ac:dyDescent="0.35">
      <c r="A57" s="46" t="s">
        <v>62</v>
      </c>
      <c r="B57" s="41" t="s">
        <v>63</v>
      </c>
      <c r="C57" s="41" t="s">
        <v>68</v>
      </c>
      <c r="D57" s="241"/>
      <c r="E57" s="48" t="s">
        <v>735</v>
      </c>
      <c r="F57" s="241"/>
      <c r="G57" s="48" t="s">
        <v>604</v>
      </c>
      <c r="H57" s="57" t="s">
        <v>605</v>
      </c>
      <c r="I57" s="57">
        <v>2</v>
      </c>
      <c r="J57" s="57" t="s">
        <v>555</v>
      </c>
      <c r="K57" s="57" t="s">
        <v>622</v>
      </c>
      <c r="L57" s="8">
        <v>2</v>
      </c>
      <c r="M57" s="8"/>
      <c r="N57" s="8"/>
      <c r="O57" s="8"/>
      <c r="P57" s="8">
        <v>2</v>
      </c>
      <c r="Q57" s="36"/>
      <c r="R57" s="20"/>
      <c r="S57" s="20"/>
      <c r="T57" s="20"/>
      <c r="U57" s="36"/>
      <c r="V57" s="242"/>
      <c r="W57" s="41" t="s">
        <v>210</v>
      </c>
      <c r="X57" s="41" t="s">
        <v>736</v>
      </c>
      <c r="Y57" s="57" t="s">
        <v>65</v>
      </c>
      <c r="Z57" s="57" t="s">
        <v>65</v>
      </c>
      <c r="AA57" s="37"/>
      <c r="AB57" s="171" t="s">
        <v>611</v>
      </c>
      <c r="AC57" s="48" t="s">
        <v>612</v>
      </c>
      <c r="AD57" s="42">
        <v>45293</v>
      </c>
      <c r="AE57" s="258">
        <v>45378</v>
      </c>
      <c r="AF57" s="48" t="s">
        <v>613</v>
      </c>
      <c r="AG57" s="48" t="s">
        <v>614</v>
      </c>
      <c r="AH57" s="57">
        <v>3</v>
      </c>
      <c r="AI57" s="48" t="s">
        <v>555</v>
      </c>
      <c r="AJ57" s="48" t="s">
        <v>615</v>
      </c>
      <c r="AK57" s="237">
        <v>3</v>
      </c>
      <c r="AL57" s="238"/>
      <c r="AM57" s="238"/>
      <c r="AN57" s="238"/>
      <c r="AO57" s="237">
        <v>3</v>
      </c>
      <c r="AP57" s="55"/>
      <c r="AQ57" s="55"/>
      <c r="AR57" s="55"/>
      <c r="AS57" s="69"/>
      <c r="AT57" s="69"/>
      <c r="AU57" s="69"/>
      <c r="AV57" s="69"/>
      <c r="AW57" s="69"/>
      <c r="AX57" s="69"/>
      <c r="AY57" s="69"/>
      <c r="AZ57" s="69"/>
      <c r="BA57" s="69"/>
      <c r="BB57" s="55"/>
      <c r="BC57" s="17"/>
      <c r="BD57" s="17"/>
      <c r="BE57" s="8" t="s">
        <v>505</v>
      </c>
      <c r="BF57" s="8" t="s">
        <v>92</v>
      </c>
      <c r="BG57" s="28" t="s">
        <v>743</v>
      </c>
      <c r="BH57" s="28" t="s">
        <v>297</v>
      </c>
    </row>
    <row r="58" spans="1:60" ht="72.5" x14ac:dyDescent="0.35">
      <c r="A58" s="46"/>
      <c r="B58" s="41"/>
      <c r="C58" s="41"/>
      <c r="D58" s="241"/>
      <c r="E58" s="48"/>
      <c r="F58" s="241"/>
      <c r="G58" s="48"/>
      <c r="H58" s="57"/>
      <c r="I58" s="57"/>
      <c r="J58" s="57"/>
      <c r="K58" s="57"/>
      <c r="L58" s="8"/>
      <c r="M58" s="8"/>
      <c r="N58" s="8"/>
      <c r="O58" s="8"/>
      <c r="P58" s="8"/>
      <c r="Q58" s="36"/>
      <c r="R58" s="20"/>
      <c r="S58" s="20"/>
      <c r="T58" s="20"/>
      <c r="U58" s="36"/>
      <c r="V58" s="242"/>
      <c r="W58" s="41" t="s">
        <v>210</v>
      </c>
      <c r="X58" s="41" t="s">
        <v>736</v>
      </c>
      <c r="Y58" s="57" t="s">
        <v>65</v>
      </c>
      <c r="Z58" s="57" t="s">
        <v>65</v>
      </c>
      <c r="AA58" s="37"/>
      <c r="AB58" s="41" t="s">
        <v>617</v>
      </c>
      <c r="AC58" s="243" t="s">
        <v>618</v>
      </c>
      <c r="AD58" s="42">
        <v>45293</v>
      </c>
      <c r="AE58" s="258">
        <v>45378</v>
      </c>
      <c r="AF58" s="41" t="s">
        <v>619</v>
      </c>
      <c r="AG58" s="41" t="s">
        <v>99</v>
      </c>
      <c r="AH58" s="57">
        <v>2</v>
      </c>
      <c r="AI58" s="48" t="s">
        <v>555</v>
      </c>
      <c r="AJ58" s="41" t="s">
        <v>610</v>
      </c>
      <c r="AK58" s="53">
        <v>2</v>
      </c>
      <c r="AL58" s="55"/>
      <c r="AM58" s="55"/>
      <c r="AN58" s="55"/>
      <c r="AO58" s="53">
        <v>2</v>
      </c>
      <c r="AP58" s="55"/>
      <c r="AQ58" s="55"/>
      <c r="AR58" s="55"/>
      <c r="AS58" s="69"/>
      <c r="AT58" s="69"/>
      <c r="AU58" s="69"/>
      <c r="AV58" s="69"/>
      <c r="AW58" s="69"/>
      <c r="AX58" s="69"/>
      <c r="AY58" s="69"/>
      <c r="AZ58" s="69"/>
      <c r="BA58" s="69"/>
      <c r="BB58" s="55"/>
      <c r="BC58" s="17"/>
      <c r="BD58" s="17"/>
      <c r="BE58" s="8" t="s">
        <v>505</v>
      </c>
      <c r="BF58" s="8" t="s">
        <v>92</v>
      </c>
      <c r="BG58" s="28" t="s">
        <v>557</v>
      </c>
      <c r="BH58" s="28" t="s">
        <v>297</v>
      </c>
    </row>
    <row r="59" spans="1:60" s="187" customFormat="1" ht="58" x14ac:dyDescent="0.35">
      <c r="A59" s="46" t="s">
        <v>62</v>
      </c>
      <c r="B59" s="41" t="s">
        <v>63</v>
      </c>
      <c r="C59" s="41" t="s">
        <v>68</v>
      </c>
      <c r="D59" s="259"/>
      <c r="E59" s="48" t="s">
        <v>744</v>
      </c>
      <c r="F59" s="259"/>
      <c r="G59" s="48" t="s">
        <v>604</v>
      </c>
      <c r="H59" s="57" t="s">
        <v>605</v>
      </c>
      <c r="I59" s="57">
        <v>2</v>
      </c>
      <c r="J59" s="57" t="s">
        <v>555</v>
      </c>
      <c r="K59" s="57" t="s">
        <v>556</v>
      </c>
      <c r="L59" s="8"/>
      <c r="M59" s="8"/>
      <c r="N59" s="8">
        <v>2</v>
      </c>
      <c r="O59" s="8"/>
      <c r="P59" s="8">
        <v>2</v>
      </c>
      <c r="Q59" s="180"/>
      <c r="R59" s="181"/>
      <c r="S59" s="181"/>
      <c r="T59" s="181"/>
      <c r="U59" s="180"/>
      <c r="V59" s="260"/>
      <c r="W59" s="41" t="s">
        <v>210</v>
      </c>
      <c r="X59" s="41" t="s">
        <v>571</v>
      </c>
      <c r="Y59" s="57" t="s">
        <v>65</v>
      </c>
      <c r="Z59" s="57" t="s">
        <v>65</v>
      </c>
      <c r="AA59" s="37"/>
      <c r="AB59" s="41" t="s">
        <v>745</v>
      </c>
      <c r="AC59" s="243" t="s">
        <v>746</v>
      </c>
      <c r="AD59" s="42">
        <v>45139</v>
      </c>
      <c r="AE59" s="258">
        <v>45260</v>
      </c>
      <c r="AF59" s="8" t="s">
        <v>747</v>
      </c>
      <c r="AG59" s="8" t="s">
        <v>748</v>
      </c>
      <c r="AH59" s="57">
        <v>2</v>
      </c>
      <c r="AI59" s="57" t="s">
        <v>628</v>
      </c>
      <c r="AJ59" s="8" t="s">
        <v>749</v>
      </c>
      <c r="AK59" s="53"/>
      <c r="AL59" s="55"/>
      <c r="AM59" s="55"/>
      <c r="AN59" s="53">
        <v>2</v>
      </c>
      <c r="AO59" s="53">
        <v>2</v>
      </c>
      <c r="AP59" s="286"/>
      <c r="AQ59" s="286"/>
      <c r="AR59" s="286"/>
      <c r="AS59" s="287"/>
      <c r="AT59" s="287"/>
      <c r="AU59" s="287"/>
      <c r="AV59" s="287"/>
      <c r="AW59" s="287"/>
      <c r="AX59" s="287"/>
      <c r="AY59" s="287"/>
      <c r="AZ59" s="287"/>
      <c r="BA59" s="287"/>
      <c r="BB59" s="286"/>
      <c r="BC59" s="288"/>
      <c r="BD59" s="288"/>
      <c r="BE59" s="8" t="s">
        <v>505</v>
      </c>
      <c r="BF59" s="28" t="s">
        <v>100</v>
      </c>
      <c r="BG59" s="28" t="s">
        <v>750</v>
      </c>
      <c r="BH59" s="28" t="s">
        <v>751</v>
      </c>
    </row>
    <row r="60" spans="1:60" s="187" customFormat="1" ht="55.5" customHeight="1" x14ac:dyDescent="0.35">
      <c r="A60" s="46"/>
      <c r="B60" s="41"/>
      <c r="C60" s="41"/>
      <c r="D60" s="259"/>
      <c r="E60" s="48"/>
      <c r="F60" s="259"/>
      <c r="G60" s="48"/>
      <c r="H60" s="57"/>
      <c r="I60" s="57"/>
      <c r="J60" s="57"/>
      <c r="K60" s="57"/>
      <c r="L60" s="8"/>
      <c r="M60" s="8"/>
      <c r="N60" s="8"/>
      <c r="O60" s="8"/>
      <c r="P60" s="8"/>
      <c r="Q60" s="180"/>
      <c r="R60" s="181"/>
      <c r="S60" s="181"/>
      <c r="T60" s="181"/>
      <c r="U60" s="180"/>
      <c r="V60" s="260"/>
      <c r="W60" s="41" t="s">
        <v>210</v>
      </c>
      <c r="X60" s="41" t="s">
        <v>571</v>
      </c>
      <c r="Y60" s="57" t="s">
        <v>65</v>
      </c>
      <c r="Z60" s="57" t="s">
        <v>65</v>
      </c>
      <c r="AA60" s="37"/>
      <c r="AB60" s="41" t="s">
        <v>752</v>
      </c>
      <c r="AC60" s="243" t="s">
        <v>753</v>
      </c>
      <c r="AD60" s="49">
        <v>45261</v>
      </c>
      <c r="AE60" s="50">
        <v>45280</v>
      </c>
      <c r="AF60" s="8" t="s">
        <v>754</v>
      </c>
      <c r="AG60" s="8" t="s">
        <v>755</v>
      </c>
      <c r="AH60" s="57">
        <v>2</v>
      </c>
      <c r="AI60" s="57" t="s">
        <v>628</v>
      </c>
      <c r="AJ60" s="8" t="s">
        <v>610</v>
      </c>
      <c r="AK60" s="53"/>
      <c r="AL60" s="55"/>
      <c r="AM60" s="55"/>
      <c r="AN60" s="53">
        <v>2</v>
      </c>
      <c r="AO60" s="53">
        <v>2</v>
      </c>
      <c r="AP60" s="286"/>
      <c r="AQ60" s="286"/>
      <c r="AR60" s="286"/>
      <c r="AS60" s="287"/>
      <c r="AT60" s="287"/>
      <c r="AU60" s="287"/>
      <c r="AV60" s="287"/>
      <c r="AW60" s="287"/>
      <c r="AX60" s="287"/>
      <c r="AY60" s="287"/>
      <c r="AZ60" s="287"/>
      <c r="BA60" s="287"/>
      <c r="BB60" s="286"/>
      <c r="BC60" s="288"/>
      <c r="BD60" s="288"/>
      <c r="BE60" s="8" t="s">
        <v>505</v>
      </c>
      <c r="BF60" s="28" t="s">
        <v>100</v>
      </c>
      <c r="BG60" s="28" t="s">
        <v>756</v>
      </c>
      <c r="BH60" s="28" t="s">
        <v>751</v>
      </c>
    </row>
    <row r="61" spans="1:60" s="187" customFormat="1" ht="72.5" x14ac:dyDescent="0.35">
      <c r="A61" s="54"/>
      <c r="B61" s="54"/>
      <c r="C61" s="41"/>
      <c r="D61" s="259"/>
      <c r="E61" s="41"/>
      <c r="F61" s="259"/>
      <c r="G61" s="41"/>
      <c r="H61" s="8"/>
      <c r="I61" s="8"/>
      <c r="J61" s="8"/>
      <c r="K61" s="8"/>
      <c r="L61" s="8"/>
      <c r="M61" s="8"/>
      <c r="N61" s="8"/>
      <c r="O61" s="8"/>
      <c r="P61" s="8"/>
      <c r="Q61" s="180"/>
      <c r="R61" s="181"/>
      <c r="S61" s="181"/>
      <c r="T61" s="181"/>
      <c r="U61" s="180"/>
      <c r="V61" s="260"/>
      <c r="W61" s="41" t="s">
        <v>210</v>
      </c>
      <c r="X61" s="41" t="s">
        <v>571</v>
      </c>
      <c r="Y61" s="57" t="s">
        <v>65</v>
      </c>
      <c r="Z61" s="57" t="s">
        <v>65</v>
      </c>
      <c r="AA61" s="37"/>
      <c r="AB61" s="195" t="s">
        <v>757</v>
      </c>
      <c r="AC61" s="243" t="s">
        <v>758</v>
      </c>
      <c r="AD61" s="42">
        <v>45139</v>
      </c>
      <c r="AE61" s="258">
        <v>45260</v>
      </c>
      <c r="AF61" s="41" t="s">
        <v>759</v>
      </c>
      <c r="AG61" s="41" t="s">
        <v>760</v>
      </c>
      <c r="AH61" s="57">
        <v>2</v>
      </c>
      <c r="AI61" s="57" t="s">
        <v>628</v>
      </c>
      <c r="AJ61" s="8" t="s">
        <v>761</v>
      </c>
      <c r="AK61" s="53"/>
      <c r="AL61" s="55"/>
      <c r="AM61" s="53" t="s">
        <v>47</v>
      </c>
      <c r="AN61" s="53">
        <v>2</v>
      </c>
      <c r="AO61" s="53">
        <v>2</v>
      </c>
      <c r="AP61" s="286"/>
      <c r="AQ61" s="286"/>
      <c r="AR61" s="286"/>
      <c r="AS61" s="287"/>
      <c r="AT61" s="287"/>
      <c r="AU61" s="287"/>
      <c r="AV61" s="287"/>
      <c r="AW61" s="287"/>
      <c r="AX61" s="287"/>
      <c r="AY61" s="287"/>
      <c r="AZ61" s="287"/>
      <c r="BA61" s="287"/>
      <c r="BB61" s="286"/>
      <c r="BC61" s="288"/>
      <c r="BD61" s="288"/>
      <c r="BE61" s="8" t="s">
        <v>505</v>
      </c>
      <c r="BF61" s="28" t="s">
        <v>100</v>
      </c>
      <c r="BG61" s="28" t="s">
        <v>762</v>
      </c>
      <c r="BH61" s="28" t="s">
        <v>763</v>
      </c>
    </row>
    <row r="62" spans="1:60" s="187" customFormat="1" ht="43.5" x14ac:dyDescent="0.35">
      <c r="A62" s="54"/>
      <c r="B62" s="54"/>
      <c r="C62" s="41"/>
      <c r="D62" s="259"/>
      <c r="E62" s="41"/>
      <c r="F62" s="259"/>
      <c r="G62" s="41"/>
      <c r="H62" s="8"/>
      <c r="I62" s="8"/>
      <c r="J62" s="8"/>
      <c r="K62" s="8"/>
      <c r="L62" s="8"/>
      <c r="M62" s="8"/>
      <c r="N62" s="8"/>
      <c r="O62" s="8"/>
      <c r="P62" s="8"/>
      <c r="Q62" s="180"/>
      <c r="R62" s="181"/>
      <c r="S62" s="181"/>
      <c r="T62" s="181"/>
      <c r="U62" s="180"/>
      <c r="V62" s="260"/>
      <c r="W62" s="41" t="s">
        <v>210</v>
      </c>
      <c r="X62" s="41" t="s">
        <v>571</v>
      </c>
      <c r="Y62" s="57" t="s">
        <v>65</v>
      </c>
      <c r="Z62" s="57" t="s">
        <v>65</v>
      </c>
      <c r="AA62" s="37"/>
      <c r="AB62" s="243" t="s">
        <v>764</v>
      </c>
      <c r="AC62" s="243" t="s">
        <v>765</v>
      </c>
      <c r="AD62" s="42">
        <v>45139</v>
      </c>
      <c r="AE62" s="258">
        <v>45289</v>
      </c>
      <c r="AF62" s="41" t="s">
        <v>477</v>
      </c>
      <c r="AG62" s="41" t="s">
        <v>86</v>
      </c>
      <c r="AH62" s="57">
        <v>4</v>
      </c>
      <c r="AI62" s="57" t="s">
        <v>628</v>
      </c>
      <c r="AJ62" s="8" t="s">
        <v>610</v>
      </c>
      <c r="AK62" s="53"/>
      <c r="AL62" s="55"/>
      <c r="AM62" s="53">
        <v>2</v>
      </c>
      <c r="AN62" s="53">
        <v>2</v>
      </c>
      <c r="AO62" s="53">
        <v>4</v>
      </c>
      <c r="AP62" s="286"/>
      <c r="AQ62" s="286"/>
      <c r="AR62" s="286"/>
      <c r="AS62" s="287"/>
      <c r="AT62" s="287"/>
      <c r="AU62" s="287"/>
      <c r="AV62" s="287"/>
      <c r="AW62" s="287"/>
      <c r="AX62" s="287"/>
      <c r="AY62" s="287"/>
      <c r="AZ62" s="287"/>
      <c r="BA62" s="287"/>
      <c r="BB62" s="286"/>
      <c r="BC62" s="288"/>
      <c r="BD62" s="288"/>
      <c r="BE62" s="8" t="s">
        <v>505</v>
      </c>
      <c r="BF62" s="28" t="s">
        <v>100</v>
      </c>
      <c r="BG62" s="28" t="s">
        <v>766</v>
      </c>
      <c r="BH62" s="28" t="s">
        <v>751</v>
      </c>
    </row>
    <row r="63" spans="1:60" ht="43.5" x14ac:dyDescent="0.35">
      <c r="A63" s="46"/>
      <c r="B63" s="41"/>
      <c r="C63" s="41"/>
      <c r="D63" s="241"/>
      <c r="E63" s="48"/>
      <c r="F63" s="241"/>
      <c r="G63" s="48"/>
      <c r="H63" s="57"/>
      <c r="I63" s="57"/>
      <c r="J63" s="57"/>
      <c r="K63" s="57"/>
      <c r="L63" s="8"/>
      <c r="M63" s="8"/>
      <c r="N63" s="8"/>
      <c r="O63" s="8"/>
      <c r="P63" s="8"/>
      <c r="Q63" s="36"/>
      <c r="R63" s="20"/>
      <c r="S63" s="20"/>
      <c r="T63" s="20"/>
      <c r="U63" s="36"/>
      <c r="V63" s="242"/>
      <c r="W63" s="41" t="s">
        <v>210</v>
      </c>
      <c r="X63" s="41" t="s">
        <v>571</v>
      </c>
      <c r="Y63" s="57" t="s">
        <v>65</v>
      </c>
      <c r="Z63" s="57" t="s">
        <v>65</v>
      </c>
      <c r="AA63" s="37"/>
      <c r="AB63" s="41" t="s">
        <v>608</v>
      </c>
      <c r="AC63" s="243" t="s">
        <v>609</v>
      </c>
      <c r="AD63" s="42">
        <v>45170</v>
      </c>
      <c r="AE63" s="258">
        <v>45289</v>
      </c>
      <c r="AF63" s="41" t="s">
        <v>477</v>
      </c>
      <c r="AG63" s="41" t="s">
        <v>86</v>
      </c>
      <c r="AH63" s="57">
        <v>2</v>
      </c>
      <c r="AI63" s="57" t="s">
        <v>555</v>
      </c>
      <c r="AJ63" s="8" t="s">
        <v>610</v>
      </c>
      <c r="AK63" s="53"/>
      <c r="AL63" s="55"/>
      <c r="AM63" s="55"/>
      <c r="AN63" s="53">
        <v>2</v>
      </c>
      <c r="AO63" s="53">
        <v>2</v>
      </c>
      <c r="AP63" s="55"/>
      <c r="AQ63" s="55"/>
      <c r="AR63" s="55"/>
      <c r="AS63" s="69"/>
      <c r="AT63" s="69"/>
      <c r="AU63" s="69"/>
      <c r="AV63" s="69"/>
      <c r="AW63" s="69"/>
      <c r="AX63" s="69"/>
      <c r="AY63" s="69"/>
      <c r="AZ63" s="69"/>
      <c r="BA63" s="69"/>
      <c r="BB63" s="55"/>
      <c r="BC63" s="17"/>
      <c r="BD63" s="17"/>
      <c r="BE63" s="8" t="s">
        <v>505</v>
      </c>
      <c r="BF63" s="28" t="s">
        <v>100</v>
      </c>
      <c r="BG63" s="28" t="s">
        <v>766</v>
      </c>
      <c r="BH63" s="28" t="s">
        <v>751</v>
      </c>
    </row>
    <row r="64" spans="1:60" ht="87" x14ac:dyDescent="0.35">
      <c r="A64" s="46" t="s">
        <v>62</v>
      </c>
      <c r="B64" s="41" t="s">
        <v>63</v>
      </c>
      <c r="C64" s="41" t="s">
        <v>68</v>
      </c>
      <c r="D64" s="241"/>
      <c r="E64" s="48" t="s">
        <v>744</v>
      </c>
      <c r="F64" s="241"/>
      <c r="G64" s="48" t="s">
        <v>604</v>
      </c>
      <c r="H64" s="57" t="s">
        <v>605</v>
      </c>
      <c r="I64" s="57">
        <v>2</v>
      </c>
      <c r="J64" s="57" t="s">
        <v>555</v>
      </c>
      <c r="K64" s="57" t="s">
        <v>556</v>
      </c>
      <c r="L64" s="8">
        <v>2</v>
      </c>
      <c r="M64" s="8"/>
      <c r="N64" s="8"/>
      <c r="O64" s="8"/>
      <c r="P64" s="8">
        <v>2</v>
      </c>
      <c r="Q64" s="36"/>
      <c r="R64" s="20"/>
      <c r="S64" s="20"/>
      <c r="T64" s="20"/>
      <c r="U64" s="36"/>
      <c r="V64" s="242"/>
      <c r="W64" s="41" t="s">
        <v>210</v>
      </c>
      <c r="X64" s="41" t="s">
        <v>571</v>
      </c>
      <c r="Y64" s="57" t="s">
        <v>65</v>
      </c>
      <c r="Z64" s="57" t="s">
        <v>65</v>
      </c>
      <c r="AA64" s="37"/>
      <c r="AB64" s="195" t="s">
        <v>611</v>
      </c>
      <c r="AC64" s="48" t="s">
        <v>612</v>
      </c>
      <c r="AD64" s="42">
        <v>45293</v>
      </c>
      <c r="AE64" s="258">
        <v>45378</v>
      </c>
      <c r="AF64" s="48" t="s">
        <v>613</v>
      </c>
      <c r="AG64" s="48" t="s">
        <v>614</v>
      </c>
      <c r="AH64" s="57">
        <v>3</v>
      </c>
      <c r="AI64" s="57" t="s">
        <v>555</v>
      </c>
      <c r="AJ64" s="57" t="s">
        <v>615</v>
      </c>
      <c r="AK64" s="237">
        <v>3</v>
      </c>
      <c r="AL64" s="238"/>
      <c r="AM64" s="238"/>
      <c r="AN64" s="238"/>
      <c r="AO64" s="237">
        <v>3</v>
      </c>
      <c r="AP64" s="55"/>
      <c r="AQ64" s="55"/>
      <c r="AR64" s="55"/>
      <c r="AS64" s="69"/>
      <c r="AT64" s="69"/>
      <c r="AU64" s="69"/>
      <c r="AV64" s="69"/>
      <c r="AW64" s="69"/>
      <c r="AX64" s="69"/>
      <c r="AY64" s="69"/>
      <c r="AZ64" s="69"/>
      <c r="BA64" s="69"/>
      <c r="BB64" s="55"/>
      <c r="BC64" s="17"/>
      <c r="BD64" s="17"/>
      <c r="BE64" s="8" t="s">
        <v>505</v>
      </c>
      <c r="BF64" s="28" t="s">
        <v>100</v>
      </c>
      <c r="BG64" s="28" t="s">
        <v>767</v>
      </c>
      <c r="BH64" s="28" t="s">
        <v>751</v>
      </c>
    </row>
    <row r="65" spans="1:60" ht="43.5" x14ac:dyDescent="0.35">
      <c r="A65" s="46"/>
      <c r="B65" s="41"/>
      <c r="C65" s="41"/>
      <c r="D65" s="241"/>
      <c r="E65" s="48"/>
      <c r="F65" s="241"/>
      <c r="G65" s="48"/>
      <c r="H65" s="57"/>
      <c r="I65" s="57"/>
      <c r="J65" s="57"/>
      <c r="K65" s="57"/>
      <c r="L65" s="8"/>
      <c r="M65" s="8"/>
      <c r="N65" s="8"/>
      <c r="O65" s="8"/>
      <c r="P65" s="8"/>
      <c r="Q65" s="36"/>
      <c r="R65" s="20"/>
      <c r="S65" s="20"/>
      <c r="T65" s="20"/>
      <c r="U65" s="36"/>
      <c r="V65" s="242"/>
      <c r="W65" s="41" t="s">
        <v>210</v>
      </c>
      <c r="X65" s="41" t="s">
        <v>571</v>
      </c>
      <c r="Y65" s="57" t="s">
        <v>65</v>
      </c>
      <c r="Z65" s="57" t="s">
        <v>65</v>
      </c>
      <c r="AA65" s="37"/>
      <c r="AB65" s="41" t="s">
        <v>617</v>
      </c>
      <c r="AC65" s="243" t="s">
        <v>618</v>
      </c>
      <c r="AD65" s="42">
        <v>45293</v>
      </c>
      <c r="AE65" s="258">
        <v>45378</v>
      </c>
      <c r="AF65" s="41" t="s">
        <v>619</v>
      </c>
      <c r="AG65" s="41" t="s">
        <v>99</v>
      </c>
      <c r="AH65" s="57">
        <v>2</v>
      </c>
      <c r="AI65" s="57" t="s">
        <v>555</v>
      </c>
      <c r="AJ65" s="8" t="s">
        <v>610</v>
      </c>
      <c r="AK65" s="53">
        <v>2</v>
      </c>
      <c r="AL65" s="55"/>
      <c r="AM65" s="55"/>
      <c r="AN65" s="55"/>
      <c r="AO65" s="53">
        <v>2</v>
      </c>
      <c r="AP65" s="55"/>
      <c r="AQ65" s="55"/>
      <c r="AR65" s="55"/>
      <c r="AS65" s="69"/>
      <c r="AT65" s="69"/>
      <c r="AU65" s="69"/>
      <c r="AV65" s="69"/>
      <c r="AW65" s="69"/>
      <c r="AX65" s="69"/>
      <c r="AY65" s="69"/>
      <c r="AZ65" s="69"/>
      <c r="BA65" s="69"/>
      <c r="BB65" s="55"/>
      <c r="BC65" s="17"/>
      <c r="BD65" s="17"/>
      <c r="BE65" s="8" t="s">
        <v>505</v>
      </c>
      <c r="BF65" s="28" t="s">
        <v>100</v>
      </c>
      <c r="BG65" s="28" t="s">
        <v>768</v>
      </c>
      <c r="BH65" s="28" t="s">
        <v>751</v>
      </c>
    </row>
    <row r="66" spans="1:60" s="187" customFormat="1" ht="58" x14ac:dyDescent="0.35">
      <c r="A66" s="46" t="s">
        <v>62</v>
      </c>
      <c r="B66" s="41" t="s">
        <v>63</v>
      </c>
      <c r="C66" s="41" t="s">
        <v>68</v>
      </c>
      <c r="D66" s="259"/>
      <c r="E66" s="48" t="s">
        <v>769</v>
      </c>
      <c r="F66" s="259"/>
      <c r="G66" s="48" t="s">
        <v>604</v>
      </c>
      <c r="H66" s="57" t="s">
        <v>605</v>
      </c>
      <c r="I66" s="57">
        <v>2</v>
      </c>
      <c r="J66" s="57" t="s">
        <v>555</v>
      </c>
      <c r="K66" s="57" t="s">
        <v>622</v>
      </c>
      <c r="L66" s="247"/>
      <c r="M66" s="247"/>
      <c r="N66" s="8">
        <v>2</v>
      </c>
      <c r="O66" s="247"/>
      <c r="P66" s="8">
        <v>2</v>
      </c>
      <c r="Q66" s="192"/>
      <c r="R66" s="193"/>
      <c r="S66" s="193"/>
      <c r="T66" s="193"/>
      <c r="U66" s="192"/>
      <c r="V66" s="192"/>
      <c r="W66" s="41" t="s">
        <v>589</v>
      </c>
      <c r="X66" s="41" t="s">
        <v>590</v>
      </c>
      <c r="Y66" s="57" t="s">
        <v>65</v>
      </c>
      <c r="Z66" s="57" t="s">
        <v>65</v>
      </c>
      <c r="AA66" s="37"/>
      <c r="AB66" s="41" t="s">
        <v>770</v>
      </c>
      <c r="AC66" s="243" t="s">
        <v>771</v>
      </c>
      <c r="AD66" s="212">
        <v>45139</v>
      </c>
      <c r="AE66" s="289">
        <v>45260</v>
      </c>
      <c r="AF66" s="195" t="s">
        <v>772</v>
      </c>
      <c r="AG66" s="195" t="s">
        <v>773</v>
      </c>
      <c r="AH66" s="217">
        <v>2</v>
      </c>
      <c r="AI66" s="210" t="s">
        <v>555</v>
      </c>
      <c r="AJ66" s="195" t="s">
        <v>774</v>
      </c>
      <c r="AK66" s="53"/>
      <c r="AL66" s="55"/>
      <c r="AM66" s="55"/>
      <c r="AN66" s="52">
        <v>2</v>
      </c>
      <c r="AO66" s="53">
        <v>2</v>
      </c>
      <c r="AP66" s="182"/>
      <c r="AQ66" s="182"/>
      <c r="AR66" s="182"/>
      <c r="AS66" s="191"/>
      <c r="AT66" s="191"/>
      <c r="AU66" s="191"/>
      <c r="AV66" s="191"/>
      <c r="AW66" s="191"/>
      <c r="AX66" s="191"/>
      <c r="AY66" s="191"/>
      <c r="AZ66" s="191"/>
      <c r="BA66" s="191"/>
      <c r="BB66" s="182"/>
      <c r="BC66" s="175"/>
      <c r="BD66" s="175"/>
      <c r="BE66" s="8" t="s">
        <v>505</v>
      </c>
      <c r="BF66" s="8" t="s">
        <v>92</v>
      </c>
      <c r="BG66" s="28" t="s">
        <v>593</v>
      </c>
      <c r="BH66" s="28" t="s">
        <v>593</v>
      </c>
    </row>
    <row r="67" spans="1:60" s="187" customFormat="1" ht="58" x14ac:dyDescent="0.35">
      <c r="A67" s="54"/>
      <c r="B67" s="54"/>
      <c r="C67" s="41"/>
      <c r="D67" s="259"/>
      <c r="E67" s="41"/>
      <c r="F67" s="259"/>
      <c r="G67" s="41"/>
      <c r="H67" s="8"/>
      <c r="I67" s="8"/>
      <c r="J67" s="8"/>
      <c r="K67" s="8"/>
      <c r="L67" s="247"/>
      <c r="M67" s="247"/>
      <c r="N67" s="8"/>
      <c r="O67" s="247"/>
      <c r="P67" s="8"/>
      <c r="Q67" s="192"/>
      <c r="R67" s="193"/>
      <c r="S67" s="193"/>
      <c r="T67" s="193"/>
      <c r="U67" s="192"/>
      <c r="V67" s="192"/>
      <c r="W67" s="41" t="s">
        <v>589</v>
      </c>
      <c r="X67" s="41" t="s">
        <v>590</v>
      </c>
      <c r="Y67" s="57" t="s">
        <v>65</v>
      </c>
      <c r="Z67" s="57" t="s">
        <v>65</v>
      </c>
      <c r="AA67" s="37"/>
      <c r="AB67" s="41" t="s">
        <v>775</v>
      </c>
      <c r="AC67" s="243" t="s">
        <v>776</v>
      </c>
      <c r="AD67" s="212">
        <v>45139</v>
      </c>
      <c r="AE67" s="289">
        <v>45289</v>
      </c>
      <c r="AF67" s="195" t="s">
        <v>777</v>
      </c>
      <c r="AG67" s="195" t="s">
        <v>778</v>
      </c>
      <c r="AH67" s="217">
        <v>2</v>
      </c>
      <c r="AI67" s="210" t="s">
        <v>555</v>
      </c>
      <c r="AJ67" s="195" t="s">
        <v>779</v>
      </c>
      <c r="AK67" s="53"/>
      <c r="AL67" s="55"/>
      <c r="AM67" s="55"/>
      <c r="AN67" s="53">
        <v>2</v>
      </c>
      <c r="AO67" s="53">
        <v>2</v>
      </c>
      <c r="AP67" s="208"/>
      <c r="AQ67" s="208"/>
      <c r="AR67" s="208"/>
      <c r="AS67" s="290"/>
      <c r="AT67" s="290"/>
      <c r="AU67" s="290"/>
      <c r="AV67" s="290"/>
      <c r="AW67" s="290"/>
      <c r="AX67" s="290"/>
      <c r="AY67" s="290"/>
      <c r="AZ67" s="290"/>
      <c r="BA67" s="290"/>
      <c r="BB67" s="208"/>
      <c r="BC67" s="200"/>
      <c r="BD67" s="200"/>
      <c r="BE67" s="8" t="s">
        <v>505</v>
      </c>
      <c r="BF67" s="8" t="s">
        <v>92</v>
      </c>
      <c r="BG67" s="28" t="s">
        <v>593</v>
      </c>
      <c r="BH67" s="28" t="s">
        <v>593</v>
      </c>
    </row>
    <row r="68" spans="1:60" s="187" customFormat="1" ht="58" x14ac:dyDescent="0.35">
      <c r="A68" s="54"/>
      <c r="B68" s="54"/>
      <c r="C68" s="41"/>
      <c r="D68" s="259"/>
      <c r="E68" s="41"/>
      <c r="F68" s="259"/>
      <c r="G68" s="41"/>
      <c r="H68" s="8"/>
      <c r="I68" s="8"/>
      <c r="J68" s="8"/>
      <c r="K68" s="8"/>
      <c r="L68" s="247"/>
      <c r="M68" s="247"/>
      <c r="N68" s="8"/>
      <c r="O68" s="247"/>
      <c r="P68" s="8"/>
      <c r="Q68" s="192"/>
      <c r="R68" s="193"/>
      <c r="S68" s="193"/>
      <c r="T68" s="193"/>
      <c r="U68" s="192"/>
      <c r="V68" s="192"/>
      <c r="W68" s="41" t="s">
        <v>589</v>
      </c>
      <c r="X68" s="41" t="s">
        <v>590</v>
      </c>
      <c r="Y68" s="57" t="s">
        <v>65</v>
      </c>
      <c r="Z68" s="57" t="s">
        <v>65</v>
      </c>
      <c r="AA68" s="37"/>
      <c r="AB68" s="41" t="s">
        <v>780</v>
      </c>
      <c r="AC68" s="243" t="s">
        <v>781</v>
      </c>
      <c r="AD68" s="201">
        <v>45170</v>
      </c>
      <c r="AE68" s="289">
        <v>45289</v>
      </c>
      <c r="AF68" s="195" t="s">
        <v>782</v>
      </c>
      <c r="AG68" s="195" t="s">
        <v>783</v>
      </c>
      <c r="AH68" s="217">
        <v>2</v>
      </c>
      <c r="AI68" s="195" t="s">
        <v>555</v>
      </c>
      <c r="AJ68" s="195" t="s">
        <v>779</v>
      </c>
      <c r="AK68" s="53"/>
      <c r="AL68" s="55"/>
      <c r="AM68" s="55"/>
      <c r="AN68" s="53">
        <v>2</v>
      </c>
      <c r="AO68" s="53">
        <v>2</v>
      </c>
      <c r="AP68" s="208"/>
      <c r="AQ68" s="208"/>
      <c r="AR68" s="208"/>
      <c r="AS68" s="290"/>
      <c r="AT68" s="290"/>
      <c r="AU68" s="290"/>
      <c r="AV68" s="290"/>
      <c r="AW68" s="290"/>
      <c r="AX68" s="290"/>
      <c r="AY68" s="290"/>
      <c r="AZ68" s="290"/>
      <c r="BA68" s="290"/>
      <c r="BB68" s="208"/>
      <c r="BC68" s="200"/>
      <c r="BD68" s="200"/>
      <c r="BE68" s="8" t="s">
        <v>505</v>
      </c>
      <c r="BF68" s="8" t="s">
        <v>92</v>
      </c>
      <c r="BG68" s="28" t="s">
        <v>593</v>
      </c>
      <c r="BH68" s="28" t="s">
        <v>593</v>
      </c>
    </row>
    <row r="69" spans="1:60" s="187" customFormat="1" ht="116" x14ac:dyDescent="0.35">
      <c r="A69" s="54"/>
      <c r="B69" s="54"/>
      <c r="C69" s="41"/>
      <c r="D69" s="259"/>
      <c r="E69" s="41"/>
      <c r="F69" s="259"/>
      <c r="G69" s="41"/>
      <c r="H69" s="8"/>
      <c r="I69" s="8"/>
      <c r="J69" s="8"/>
      <c r="K69" s="8"/>
      <c r="L69" s="247"/>
      <c r="M69" s="247"/>
      <c r="N69" s="8"/>
      <c r="O69" s="247"/>
      <c r="P69" s="8"/>
      <c r="Q69" s="192"/>
      <c r="R69" s="193"/>
      <c r="S69" s="193"/>
      <c r="T69" s="193"/>
      <c r="U69" s="192"/>
      <c r="V69" s="192"/>
      <c r="W69" s="41" t="s">
        <v>589</v>
      </c>
      <c r="X69" s="41" t="s">
        <v>590</v>
      </c>
      <c r="Y69" s="57" t="s">
        <v>65</v>
      </c>
      <c r="Z69" s="57" t="s">
        <v>65</v>
      </c>
      <c r="AA69" s="37"/>
      <c r="AB69" s="41" t="s">
        <v>780</v>
      </c>
      <c r="AC69" s="243" t="s">
        <v>781</v>
      </c>
      <c r="AD69" s="212">
        <v>45293</v>
      </c>
      <c r="AE69" s="289">
        <v>45471</v>
      </c>
      <c r="AF69" s="195" t="s">
        <v>782</v>
      </c>
      <c r="AG69" s="195" t="s">
        <v>783</v>
      </c>
      <c r="AH69" s="217">
        <v>2</v>
      </c>
      <c r="AI69" s="195" t="s">
        <v>555</v>
      </c>
      <c r="AJ69" s="195" t="s">
        <v>779</v>
      </c>
      <c r="AK69" s="53"/>
      <c r="AL69" s="203">
        <v>2</v>
      </c>
      <c r="AM69" s="55"/>
      <c r="AN69" s="55"/>
      <c r="AO69" s="53">
        <v>2</v>
      </c>
      <c r="AP69" s="8" t="s">
        <v>505</v>
      </c>
      <c r="AQ69" s="8" t="s">
        <v>92</v>
      </c>
      <c r="AR69" s="28" t="s">
        <v>593</v>
      </c>
      <c r="AS69" s="28" t="s">
        <v>593</v>
      </c>
      <c r="AT69" s="69"/>
      <c r="AU69" s="69"/>
      <c r="AV69" s="69"/>
      <c r="AW69" s="69"/>
      <c r="AX69" s="69"/>
      <c r="AY69" s="69"/>
      <c r="AZ69" s="69"/>
      <c r="BA69" s="69"/>
      <c r="BB69" s="55"/>
      <c r="BC69" s="17"/>
      <c r="BD69" s="17"/>
      <c r="BE69" s="8" t="s">
        <v>505</v>
      </c>
      <c r="BF69" s="8" t="s">
        <v>92</v>
      </c>
      <c r="BG69" s="28" t="s">
        <v>593</v>
      </c>
      <c r="BH69" s="28" t="s">
        <v>593</v>
      </c>
    </row>
    <row r="70" spans="1:60" s="187" customFormat="1" ht="58" x14ac:dyDescent="0.35">
      <c r="A70" s="54"/>
      <c r="B70" s="54"/>
      <c r="C70" s="41"/>
      <c r="D70" s="245"/>
      <c r="E70" s="41"/>
      <c r="F70" s="41"/>
      <c r="G70" s="41"/>
      <c r="H70" s="246"/>
      <c r="I70" s="247"/>
      <c r="J70" s="246"/>
      <c r="K70" s="246"/>
      <c r="L70" s="247"/>
      <c r="M70" s="247"/>
      <c r="N70" s="247"/>
      <c r="O70" s="247"/>
      <c r="P70" s="246"/>
      <c r="Q70" s="192"/>
      <c r="R70" s="193"/>
      <c r="S70" s="193"/>
      <c r="T70" s="193"/>
      <c r="U70" s="192"/>
      <c r="V70" s="192"/>
      <c r="W70" s="41" t="s">
        <v>589</v>
      </c>
      <c r="X70" s="41" t="s">
        <v>590</v>
      </c>
      <c r="Y70" s="57" t="s">
        <v>65</v>
      </c>
      <c r="Z70" s="57" t="s">
        <v>65</v>
      </c>
      <c r="AA70" s="37"/>
      <c r="AB70" s="41" t="s">
        <v>784</v>
      </c>
      <c r="AC70" s="243" t="s">
        <v>785</v>
      </c>
      <c r="AD70" s="201">
        <v>45170</v>
      </c>
      <c r="AE70" s="289">
        <v>45289</v>
      </c>
      <c r="AF70" s="195" t="s">
        <v>782</v>
      </c>
      <c r="AG70" s="195" t="s">
        <v>783</v>
      </c>
      <c r="AH70" s="217">
        <v>2</v>
      </c>
      <c r="AI70" s="195" t="s">
        <v>555</v>
      </c>
      <c r="AJ70" s="195" t="s">
        <v>779</v>
      </c>
      <c r="AK70" s="53"/>
      <c r="AL70" s="55"/>
      <c r="AM70" s="55"/>
      <c r="AN70" s="53">
        <v>2</v>
      </c>
      <c r="AO70" s="53">
        <v>2</v>
      </c>
      <c r="AP70" s="208"/>
      <c r="AQ70" s="208"/>
      <c r="AR70" s="208"/>
      <c r="AS70" s="290"/>
      <c r="AT70" s="290"/>
      <c r="AU70" s="290"/>
      <c r="AV70" s="290"/>
      <c r="AW70" s="290"/>
      <c r="AX70" s="290"/>
      <c r="AY70" s="290"/>
      <c r="AZ70" s="290"/>
      <c r="BA70" s="290"/>
      <c r="BB70" s="208"/>
      <c r="BC70" s="200"/>
      <c r="BD70" s="200"/>
      <c r="BE70" s="8" t="s">
        <v>505</v>
      </c>
      <c r="BF70" s="8" t="s">
        <v>92</v>
      </c>
      <c r="BG70" s="28" t="s">
        <v>593</v>
      </c>
      <c r="BH70" s="28" t="s">
        <v>593</v>
      </c>
    </row>
    <row r="71" spans="1:60" ht="72.5" x14ac:dyDescent="0.35">
      <c r="A71" s="54"/>
      <c r="B71" s="54"/>
      <c r="C71" s="41"/>
      <c r="D71" s="245"/>
      <c r="E71" s="41"/>
      <c r="F71" s="41"/>
      <c r="G71" s="41"/>
      <c r="H71" s="246"/>
      <c r="I71" s="247"/>
      <c r="J71" s="246"/>
      <c r="K71" s="246"/>
      <c r="L71" s="247"/>
      <c r="M71" s="247"/>
      <c r="N71" s="247"/>
      <c r="O71" s="247"/>
      <c r="P71" s="246"/>
      <c r="Q71" s="248"/>
      <c r="R71" s="249"/>
      <c r="S71" s="249"/>
      <c r="T71" s="249"/>
      <c r="U71" s="248"/>
      <c r="V71" s="248"/>
      <c r="W71" s="41" t="s">
        <v>589</v>
      </c>
      <c r="X71" s="41" t="s">
        <v>590</v>
      </c>
      <c r="Y71" s="57" t="s">
        <v>65</v>
      </c>
      <c r="Z71" s="57" t="s">
        <v>65</v>
      </c>
      <c r="AA71" s="37"/>
      <c r="AB71" s="41" t="s">
        <v>608</v>
      </c>
      <c r="AC71" s="243" t="s">
        <v>609</v>
      </c>
      <c r="AD71" s="212">
        <v>45170</v>
      </c>
      <c r="AE71" s="289">
        <v>45289</v>
      </c>
      <c r="AF71" s="195" t="s">
        <v>477</v>
      </c>
      <c r="AG71" s="195" t="s">
        <v>86</v>
      </c>
      <c r="AH71" s="217">
        <v>2</v>
      </c>
      <c r="AI71" s="210" t="s">
        <v>555</v>
      </c>
      <c r="AJ71" s="195" t="s">
        <v>556</v>
      </c>
      <c r="AK71" s="53"/>
      <c r="AL71" s="55"/>
      <c r="AM71" s="55"/>
      <c r="AN71" s="53">
        <v>2</v>
      </c>
      <c r="AO71" s="53">
        <v>2</v>
      </c>
      <c r="AP71" s="55"/>
      <c r="AQ71" s="55"/>
      <c r="AR71" s="55"/>
      <c r="AS71" s="69"/>
      <c r="AT71" s="69"/>
      <c r="AU71" s="69"/>
      <c r="AV71" s="69"/>
      <c r="AW71" s="69"/>
      <c r="AX71" s="69"/>
      <c r="AY71" s="69"/>
      <c r="AZ71" s="69"/>
      <c r="BA71" s="69"/>
      <c r="BB71" s="55"/>
      <c r="BC71" s="17"/>
      <c r="BD71" s="17"/>
      <c r="BE71" s="8" t="s">
        <v>505</v>
      </c>
      <c r="BF71" s="8" t="s">
        <v>92</v>
      </c>
      <c r="BG71" s="28" t="s">
        <v>557</v>
      </c>
      <c r="BH71" s="28" t="s">
        <v>593</v>
      </c>
    </row>
    <row r="72" spans="1:60" ht="101.5" x14ac:dyDescent="0.35">
      <c r="A72" s="46" t="s">
        <v>62</v>
      </c>
      <c r="B72" s="41" t="s">
        <v>63</v>
      </c>
      <c r="C72" s="41" t="s">
        <v>68</v>
      </c>
      <c r="D72" s="241"/>
      <c r="E72" s="48" t="s">
        <v>769</v>
      </c>
      <c r="F72" s="241"/>
      <c r="G72" s="48" t="s">
        <v>604</v>
      </c>
      <c r="H72" s="57" t="s">
        <v>605</v>
      </c>
      <c r="I72" s="57">
        <v>2</v>
      </c>
      <c r="J72" s="57" t="s">
        <v>555</v>
      </c>
      <c r="K72" s="57" t="s">
        <v>622</v>
      </c>
      <c r="L72" s="8">
        <v>2</v>
      </c>
      <c r="M72" s="247"/>
      <c r="N72" s="247"/>
      <c r="O72" s="247"/>
      <c r="P72" s="8">
        <v>2</v>
      </c>
      <c r="Q72" s="248"/>
      <c r="R72" s="249"/>
      <c r="S72" s="249"/>
      <c r="T72" s="249"/>
      <c r="U72" s="248"/>
      <c r="V72" s="248"/>
      <c r="W72" s="41" t="s">
        <v>589</v>
      </c>
      <c r="X72" s="41" t="s">
        <v>590</v>
      </c>
      <c r="Y72" s="57" t="s">
        <v>65</v>
      </c>
      <c r="Z72" s="57" t="s">
        <v>65</v>
      </c>
      <c r="AA72" s="37"/>
      <c r="AB72" s="41" t="s">
        <v>611</v>
      </c>
      <c r="AC72" s="48" t="s">
        <v>612</v>
      </c>
      <c r="AD72" s="212">
        <v>45293</v>
      </c>
      <c r="AE72" s="289">
        <v>45378</v>
      </c>
      <c r="AF72" s="210" t="s">
        <v>613</v>
      </c>
      <c r="AG72" s="210" t="s">
        <v>614</v>
      </c>
      <c r="AH72" s="217">
        <v>3</v>
      </c>
      <c r="AI72" s="210" t="s">
        <v>555</v>
      </c>
      <c r="AJ72" s="210" t="s">
        <v>615</v>
      </c>
      <c r="AK72" s="237">
        <v>3</v>
      </c>
      <c r="AL72" s="238"/>
      <c r="AM72" s="238"/>
      <c r="AN72" s="238"/>
      <c r="AO72" s="237">
        <v>3</v>
      </c>
      <c r="AP72" s="55"/>
      <c r="AQ72" s="55"/>
      <c r="AR72" s="55"/>
      <c r="AS72" s="69"/>
      <c r="AT72" s="69"/>
      <c r="AU72" s="69"/>
      <c r="AV72" s="69"/>
      <c r="AW72" s="69"/>
      <c r="AX72" s="69"/>
      <c r="AY72" s="69"/>
      <c r="AZ72" s="69"/>
      <c r="BA72" s="69"/>
      <c r="BB72" s="55"/>
      <c r="BC72" s="17"/>
      <c r="BD72" s="17"/>
      <c r="BE72" s="8" t="s">
        <v>505</v>
      </c>
      <c r="BF72" s="8" t="s">
        <v>92</v>
      </c>
      <c r="BG72" s="28" t="s">
        <v>786</v>
      </c>
      <c r="BH72" s="28" t="s">
        <v>593</v>
      </c>
    </row>
    <row r="73" spans="1:60" ht="72.5" x14ac:dyDescent="0.35">
      <c r="A73" s="54"/>
      <c r="B73" s="54"/>
      <c r="C73" s="41"/>
      <c r="D73" s="245"/>
      <c r="E73" s="41"/>
      <c r="F73" s="41"/>
      <c r="G73" s="41"/>
      <c r="H73" s="246"/>
      <c r="I73" s="247"/>
      <c r="J73" s="246"/>
      <c r="K73" s="246"/>
      <c r="L73" s="247"/>
      <c r="M73" s="247"/>
      <c r="N73" s="247"/>
      <c r="O73" s="247"/>
      <c r="P73" s="246"/>
      <c r="Q73" s="248"/>
      <c r="R73" s="249"/>
      <c r="S73" s="249"/>
      <c r="T73" s="249"/>
      <c r="U73" s="248"/>
      <c r="V73" s="248"/>
      <c r="W73" s="41" t="s">
        <v>589</v>
      </c>
      <c r="X73" s="41" t="s">
        <v>590</v>
      </c>
      <c r="Y73" s="57" t="s">
        <v>65</v>
      </c>
      <c r="Z73" s="57" t="s">
        <v>65</v>
      </c>
      <c r="AA73" s="37"/>
      <c r="AB73" s="41" t="s">
        <v>617</v>
      </c>
      <c r="AC73" s="243" t="s">
        <v>618</v>
      </c>
      <c r="AD73" s="212">
        <v>45293</v>
      </c>
      <c r="AE73" s="289">
        <v>45378</v>
      </c>
      <c r="AF73" s="195" t="s">
        <v>619</v>
      </c>
      <c r="AG73" s="195" t="s">
        <v>99</v>
      </c>
      <c r="AH73" s="217">
        <v>2</v>
      </c>
      <c r="AI73" s="210" t="s">
        <v>555</v>
      </c>
      <c r="AJ73" s="195" t="s">
        <v>556</v>
      </c>
      <c r="AK73" s="53">
        <v>2</v>
      </c>
      <c r="AL73" s="55"/>
      <c r="AM73" s="55"/>
      <c r="AN73" s="55"/>
      <c r="AO73" s="53">
        <v>2</v>
      </c>
      <c r="AP73" s="55"/>
      <c r="AQ73" s="55"/>
      <c r="AR73" s="55"/>
      <c r="AS73" s="69"/>
      <c r="AT73" s="69"/>
      <c r="AU73" s="69"/>
      <c r="AV73" s="69"/>
      <c r="AW73" s="69"/>
      <c r="AX73" s="69"/>
      <c r="AY73" s="69"/>
      <c r="AZ73" s="69"/>
      <c r="BA73" s="69"/>
      <c r="BB73" s="55"/>
      <c r="BC73" s="17"/>
      <c r="BD73" s="17"/>
      <c r="BE73" s="8" t="s">
        <v>505</v>
      </c>
      <c r="BF73" s="8" t="s">
        <v>92</v>
      </c>
      <c r="BG73" s="28" t="s">
        <v>557</v>
      </c>
      <c r="BH73" s="28" t="s">
        <v>593</v>
      </c>
    </row>
    <row r="74" spans="1:60" s="187" customFormat="1" ht="87" x14ac:dyDescent="0.35">
      <c r="A74" s="291" t="s">
        <v>62</v>
      </c>
      <c r="B74" s="291" t="s">
        <v>63</v>
      </c>
      <c r="C74" s="195" t="s">
        <v>68</v>
      </c>
      <c r="D74" s="292"/>
      <c r="E74" s="195" t="s">
        <v>787</v>
      </c>
      <c r="F74" s="195"/>
      <c r="G74" s="195" t="s">
        <v>604</v>
      </c>
      <c r="H74" s="217" t="s">
        <v>605</v>
      </c>
      <c r="I74" s="217">
        <v>2</v>
      </c>
      <c r="J74" s="217" t="s">
        <v>555</v>
      </c>
      <c r="K74" s="217" t="s">
        <v>622</v>
      </c>
      <c r="L74" s="293"/>
      <c r="M74" s="293"/>
      <c r="N74" s="198">
        <v>2</v>
      </c>
      <c r="O74" s="293"/>
      <c r="P74" s="198">
        <v>2</v>
      </c>
      <c r="Q74" s="192"/>
      <c r="R74" s="193"/>
      <c r="S74" s="193"/>
      <c r="T74" s="193"/>
      <c r="U74" s="192"/>
      <c r="V74" s="192"/>
      <c r="W74" s="195" t="s">
        <v>594</v>
      </c>
      <c r="X74" s="195" t="s">
        <v>595</v>
      </c>
      <c r="Y74" s="217" t="s">
        <v>65</v>
      </c>
      <c r="Z74" s="217" t="s">
        <v>65</v>
      </c>
      <c r="AA74" s="197"/>
      <c r="AB74" s="294" t="s">
        <v>788</v>
      </c>
      <c r="AC74" s="210" t="s">
        <v>789</v>
      </c>
      <c r="AD74" s="212">
        <v>45139</v>
      </c>
      <c r="AE74" s="289">
        <v>45289</v>
      </c>
      <c r="AF74" s="210" t="s">
        <v>790</v>
      </c>
      <c r="AG74" s="210" t="s">
        <v>791</v>
      </c>
      <c r="AH74" s="217">
        <v>2</v>
      </c>
      <c r="AI74" s="210" t="s">
        <v>555</v>
      </c>
      <c r="AJ74" s="195" t="s">
        <v>792</v>
      </c>
      <c r="AK74" s="203"/>
      <c r="AL74" s="208"/>
      <c r="AM74" s="295">
        <v>2</v>
      </c>
      <c r="AN74" s="295"/>
      <c r="AO74" s="203">
        <v>2</v>
      </c>
      <c r="AP74" s="173" t="s">
        <v>505</v>
      </c>
      <c r="AQ74" s="173" t="s">
        <v>92</v>
      </c>
      <c r="AR74" s="190" t="s">
        <v>793</v>
      </c>
      <c r="AS74" s="190" t="s">
        <v>793</v>
      </c>
      <c r="AT74" s="191"/>
      <c r="AU74" s="191"/>
      <c r="AV74" s="191"/>
      <c r="AW74" s="191"/>
      <c r="AX74" s="191"/>
      <c r="AY74" s="191"/>
      <c r="AZ74" s="191"/>
      <c r="BA74" s="191"/>
      <c r="BB74" s="182"/>
      <c r="BC74" s="175"/>
      <c r="BD74" s="175"/>
      <c r="BE74" s="198" t="s">
        <v>308</v>
      </c>
      <c r="BF74" s="198" t="s">
        <v>329</v>
      </c>
      <c r="BG74" s="219" t="s">
        <v>794</v>
      </c>
      <c r="BH74" s="219" t="s">
        <v>794</v>
      </c>
    </row>
    <row r="75" spans="1:60" s="187" customFormat="1" ht="72.5" x14ac:dyDescent="0.35">
      <c r="A75" s="291"/>
      <c r="B75" s="291"/>
      <c r="C75" s="195"/>
      <c r="D75" s="292"/>
      <c r="E75" s="195"/>
      <c r="F75" s="195"/>
      <c r="G75" s="195"/>
      <c r="H75" s="296"/>
      <c r="I75" s="293"/>
      <c r="J75" s="296"/>
      <c r="K75" s="296"/>
      <c r="L75" s="293"/>
      <c r="M75" s="293"/>
      <c r="N75" s="293"/>
      <c r="O75" s="293"/>
      <c r="P75" s="296"/>
      <c r="Q75" s="192"/>
      <c r="R75" s="193"/>
      <c r="S75" s="193"/>
      <c r="T75" s="193"/>
      <c r="U75" s="192"/>
      <c r="V75" s="192"/>
      <c r="W75" s="195" t="s">
        <v>594</v>
      </c>
      <c r="X75" s="195" t="s">
        <v>595</v>
      </c>
      <c r="Y75" s="217" t="s">
        <v>65</v>
      </c>
      <c r="Z75" s="217" t="s">
        <v>65</v>
      </c>
      <c r="AA75" s="195"/>
      <c r="AB75" s="195" t="s">
        <v>795</v>
      </c>
      <c r="AC75" s="210" t="s">
        <v>796</v>
      </c>
      <c r="AD75" s="212">
        <v>45139</v>
      </c>
      <c r="AE75" s="289">
        <v>45289</v>
      </c>
      <c r="AF75" s="210" t="s">
        <v>797</v>
      </c>
      <c r="AG75" s="210" t="s">
        <v>798</v>
      </c>
      <c r="AH75" s="217">
        <v>2</v>
      </c>
      <c r="AI75" s="210" t="s">
        <v>555</v>
      </c>
      <c r="AJ75" s="195" t="s">
        <v>799</v>
      </c>
      <c r="AK75" s="203"/>
      <c r="AL75" s="208"/>
      <c r="AM75" s="295"/>
      <c r="AN75" s="295">
        <v>2</v>
      </c>
      <c r="AO75" s="203">
        <v>2</v>
      </c>
      <c r="AP75" s="173" t="s">
        <v>505</v>
      </c>
      <c r="AQ75" s="173" t="s">
        <v>92</v>
      </c>
      <c r="AR75" s="190" t="s">
        <v>793</v>
      </c>
      <c r="AS75" s="190" t="s">
        <v>793</v>
      </c>
      <c r="AT75" s="191"/>
      <c r="AU75" s="191"/>
      <c r="AV75" s="191"/>
      <c r="AW75" s="191"/>
      <c r="AX75" s="191"/>
      <c r="AY75" s="191"/>
      <c r="AZ75" s="191"/>
      <c r="BA75" s="191"/>
      <c r="BB75" s="182"/>
      <c r="BC75" s="175"/>
      <c r="BD75" s="175"/>
      <c r="BE75" s="198" t="s">
        <v>308</v>
      </c>
      <c r="BF75" s="198" t="s">
        <v>329</v>
      </c>
      <c r="BG75" s="219" t="s">
        <v>794</v>
      </c>
      <c r="BH75" s="219" t="s">
        <v>794</v>
      </c>
    </row>
    <row r="76" spans="1:60" ht="43.5" x14ac:dyDescent="0.35">
      <c r="A76" s="54"/>
      <c r="B76" s="54"/>
      <c r="C76" s="41"/>
      <c r="D76" s="245"/>
      <c r="E76" s="41"/>
      <c r="F76" s="41"/>
      <c r="G76" s="41"/>
      <c r="H76" s="246"/>
      <c r="I76" s="247"/>
      <c r="J76" s="246"/>
      <c r="K76" s="246"/>
      <c r="L76" s="247"/>
      <c r="M76" s="247"/>
      <c r="N76" s="247"/>
      <c r="O76" s="247"/>
      <c r="P76" s="246"/>
      <c r="Q76" s="248"/>
      <c r="R76" s="249"/>
      <c r="S76" s="249"/>
      <c r="T76" s="249"/>
      <c r="U76" s="248"/>
      <c r="V76" s="248"/>
      <c r="W76" s="41" t="s">
        <v>594</v>
      </c>
      <c r="X76" s="41" t="s">
        <v>595</v>
      </c>
      <c r="Y76" s="57" t="s">
        <v>65</v>
      </c>
      <c r="Z76" s="57" t="s">
        <v>65</v>
      </c>
      <c r="AA76" s="37"/>
      <c r="AB76" s="41" t="s">
        <v>608</v>
      </c>
      <c r="AC76" s="243" t="s">
        <v>609</v>
      </c>
      <c r="AD76" s="42">
        <v>45170</v>
      </c>
      <c r="AE76" s="258">
        <v>45289</v>
      </c>
      <c r="AF76" s="41" t="s">
        <v>477</v>
      </c>
      <c r="AG76" s="41" t="s">
        <v>86</v>
      </c>
      <c r="AH76" s="57">
        <v>2</v>
      </c>
      <c r="AI76" s="48" t="s">
        <v>555</v>
      </c>
      <c r="AJ76" s="41" t="s">
        <v>610</v>
      </c>
      <c r="AK76" s="53"/>
      <c r="AL76" s="55"/>
      <c r="AM76" s="55"/>
      <c r="AN76" s="53">
        <v>2</v>
      </c>
      <c r="AO76" s="53">
        <v>2</v>
      </c>
      <c r="AP76" s="55"/>
      <c r="AQ76" s="55"/>
      <c r="AR76" s="55"/>
      <c r="AS76" s="69"/>
      <c r="AT76" s="69"/>
      <c r="AU76" s="69"/>
      <c r="AV76" s="69"/>
      <c r="AW76" s="69"/>
      <c r="AX76" s="69"/>
      <c r="AY76" s="69"/>
      <c r="AZ76" s="69"/>
      <c r="BA76" s="69"/>
      <c r="BB76" s="55"/>
      <c r="BC76" s="17"/>
      <c r="BD76" s="17"/>
      <c r="BE76" s="8" t="s">
        <v>308</v>
      </c>
      <c r="BF76" s="8" t="s">
        <v>329</v>
      </c>
      <c r="BG76" s="281" t="s">
        <v>639</v>
      </c>
      <c r="BH76" s="219" t="s">
        <v>794</v>
      </c>
    </row>
    <row r="77" spans="1:60" ht="87" x14ac:dyDescent="0.35">
      <c r="A77" s="54" t="s">
        <v>62</v>
      </c>
      <c r="B77" s="54" t="s">
        <v>63</v>
      </c>
      <c r="C77" s="41" t="s">
        <v>68</v>
      </c>
      <c r="D77" s="245"/>
      <c r="E77" s="41" t="s">
        <v>787</v>
      </c>
      <c r="F77" s="41"/>
      <c r="G77" s="41" t="s">
        <v>604</v>
      </c>
      <c r="H77" s="57" t="s">
        <v>605</v>
      </c>
      <c r="I77" s="57">
        <v>2</v>
      </c>
      <c r="J77" s="57" t="s">
        <v>555</v>
      </c>
      <c r="K77" s="57" t="s">
        <v>622</v>
      </c>
      <c r="L77" s="8">
        <v>2</v>
      </c>
      <c r="M77" s="247"/>
      <c r="N77" s="247"/>
      <c r="O77" s="247"/>
      <c r="P77" s="8">
        <v>2</v>
      </c>
      <c r="Q77" s="248"/>
      <c r="R77" s="249"/>
      <c r="S77" s="249"/>
      <c r="T77" s="249"/>
      <c r="U77" s="248"/>
      <c r="V77" s="248"/>
      <c r="W77" s="41" t="s">
        <v>594</v>
      </c>
      <c r="X77" s="41" t="s">
        <v>595</v>
      </c>
      <c r="Y77" s="57" t="s">
        <v>65</v>
      </c>
      <c r="Z77" s="57" t="s">
        <v>65</v>
      </c>
      <c r="AA77" s="37"/>
      <c r="AB77" s="297" t="s">
        <v>611</v>
      </c>
      <c r="AC77" s="48" t="s">
        <v>612</v>
      </c>
      <c r="AD77" s="42">
        <v>45293</v>
      </c>
      <c r="AE77" s="258">
        <v>45378</v>
      </c>
      <c r="AF77" s="48" t="s">
        <v>613</v>
      </c>
      <c r="AG77" s="48" t="s">
        <v>614</v>
      </c>
      <c r="AH77" s="57">
        <v>3</v>
      </c>
      <c r="AI77" s="48" t="s">
        <v>555</v>
      </c>
      <c r="AJ77" s="48" t="s">
        <v>615</v>
      </c>
      <c r="AK77" s="237">
        <v>3</v>
      </c>
      <c r="AL77" s="238"/>
      <c r="AM77" s="238"/>
      <c r="AN77" s="238"/>
      <c r="AO77" s="237">
        <v>3</v>
      </c>
      <c r="AP77" s="55"/>
      <c r="AQ77" s="55"/>
      <c r="AR77" s="55"/>
      <c r="AS77" s="69"/>
      <c r="AT77" s="69"/>
      <c r="AU77" s="69"/>
      <c r="AV77" s="69"/>
      <c r="AW77" s="69"/>
      <c r="AX77" s="69"/>
      <c r="AY77" s="69"/>
      <c r="AZ77" s="69"/>
      <c r="BA77" s="69"/>
      <c r="BB77" s="55"/>
      <c r="BC77" s="17"/>
      <c r="BD77" s="17"/>
      <c r="BE77" s="8" t="s">
        <v>308</v>
      </c>
      <c r="BF77" s="8" t="s">
        <v>329</v>
      </c>
      <c r="BG77" s="281" t="s">
        <v>800</v>
      </c>
      <c r="BH77" s="219" t="s">
        <v>794</v>
      </c>
    </row>
    <row r="78" spans="1:60" ht="43.5" x14ac:dyDescent="0.35">
      <c r="A78" s="54"/>
      <c r="B78" s="54"/>
      <c r="C78" s="41"/>
      <c r="D78" s="245"/>
      <c r="E78" s="41"/>
      <c r="F78" s="41"/>
      <c r="G78" s="41"/>
      <c r="H78" s="246"/>
      <c r="I78" s="247"/>
      <c r="J78" s="246"/>
      <c r="K78" s="246"/>
      <c r="L78" s="247"/>
      <c r="M78" s="247"/>
      <c r="N78" s="247"/>
      <c r="O78" s="247"/>
      <c r="P78" s="246"/>
      <c r="Q78" s="248"/>
      <c r="R78" s="249"/>
      <c r="S78" s="249"/>
      <c r="T78" s="249"/>
      <c r="U78" s="248"/>
      <c r="V78" s="248"/>
      <c r="W78" s="41" t="s">
        <v>594</v>
      </c>
      <c r="X78" s="41" t="s">
        <v>595</v>
      </c>
      <c r="Y78" s="57" t="s">
        <v>65</v>
      </c>
      <c r="Z78" s="57" t="s">
        <v>65</v>
      </c>
      <c r="AA78" s="37"/>
      <c r="AB78" s="41" t="s">
        <v>617</v>
      </c>
      <c r="AC78" s="243" t="s">
        <v>618</v>
      </c>
      <c r="AD78" s="42">
        <v>45293</v>
      </c>
      <c r="AE78" s="258">
        <v>45378</v>
      </c>
      <c r="AF78" s="41" t="s">
        <v>619</v>
      </c>
      <c r="AG78" s="41" t="s">
        <v>99</v>
      </c>
      <c r="AH78" s="57">
        <v>2</v>
      </c>
      <c r="AI78" s="48" t="s">
        <v>555</v>
      </c>
      <c r="AJ78" s="41" t="s">
        <v>610</v>
      </c>
      <c r="AK78" s="53">
        <v>2</v>
      </c>
      <c r="AL78" s="55"/>
      <c r="AM78" s="55"/>
      <c r="AN78" s="55"/>
      <c r="AO78" s="53">
        <v>2</v>
      </c>
      <c r="AP78" s="55"/>
      <c r="AQ78" s="55"/>
      <c r="AR78" s="55"/>
      <c r="AS78" s="69"/>
      <c r="AT78" s="69"/>
      <c r="AU78" s="69"/>
      <c r="AV78" s="69"/>
      <c r="AW78" s="69"/>
      <c r="AX78" s="69"/>
      <c r="AY78" s="69"/>
      <c r="AZ78" s="69"/>
      <c r="BA78" s="69"/>
      <c r="BB78" s="55"/>
      <c r="BC78" s="17"/>
      <c r="BD78" s="17"/>
      <c r="BE78" s="8" t="s">
        <v>308</v>
      </c>
      <c r="BF78" s="8" t="s">
        <v>329</v>
      </c>
      <c r="BG78" s="281" t="s">
        <v>639</v>
      </c>
      <c r="BH78" s="219" t="s">
        <v>794</v>
      </c>
    </row>
    <row r="79" spans="1:60" s="187" customFormat="1" ht="58" x14ac:dyDescent="0.35">
      <c r="A79" s="54" t="s">
        <v>62</v>
      </c>
      <c r="B79" s="54" t="s">
        <v>63</v>
      </c>
      <c r="C79" s="41" t="s">
        <v>68</v>
      </c>
      <c r="D79" s="245"/>
      <c r="E79" s="41" t="s">
        <v>801</v>
      </c>
      <c r="F79" s="41"/>
      <c r="G79" s="41" t="s">
        <v>604</v>
      </c>
      <c r="H79" s="57" t="s">
        <v>605</v>
      </c>
      <c r="I79" s="57">
        <v>2</v>
      </c>
      <c r="J79" s="57" t="s">
        <v>555</v>
      </c>
      <c r="K79" s="57" t="s">
        <v>622</v>
      </c>
      <c r="L79" s="247"/>
      <c r="M79" s="247"/>
      <c r="N79" s="8">
        <v>2</v>
      </c>
      <c r="O79" s="247"/>
      <c r="P79" s="8">
        <v>2</v>
      </c>
      <c r="Q79" s="192"/>
      <c r="R79" s="193"/>
      <c r="S79" s="193"/>
      <c r="T79" s="193"/>
      <c r="U79" s="192"/>
      <c r="V79" s="192"/>
      <c r="W79" s="41" t="s">
        <v>594</v>
      </c>
      <c r="X79" s="41" t="s">
        <v>802</v>
      </c>
      <c r="Y79" s="57" t="s">
        <v>65</v>
      </c>
      <c r="Z79" s="57" t="s">
        <v>65</v>
      </c>
      <c r="AA79" s="37"/>
      <c r="AB79" s="41" t="s">
        <v>803</v>
      </c>
      <c r="AC79" s="243" t="s">
        <v>804</v>
      </c>
      <c r="AD79" s="212">
        <v>45139</v>
      </c>
      <c r="AE79" s="289">
        <v>45289</v>
      </c>
      <c r="AF79" s="195" t="s">
        <v>805</v>
      </c>
      <c r="AG79" s="195" t="s">
        <v>806</v>
      </c>
      <c r="AH79" s="217">
        <v>2</v>
      </c>
      <c r="AI79" s="210" t="s">
        <v>555</v>
      </c>
      <c r="AJ79" s="195" t="s">
        <v>807</v>
      </c>
      <c r="AK79" s="53"/>
      <c r="AL79" s="55"/>
      <c r="AM79" s="55"/>
      <c r="AN79" s="53">
        <v>2</v>
      </c>
      <c r="AO79" s="53">
        <v>2</v>
      </c>
      <c r="AP79" s="182"/>
      <c r="AQ79" s="182"/>
      <c r="AR79" s="182"/>
      <c r="AS79" s="191"/>
      <c r="AT79" s="191"/>
      <c r="AU79" s="191"/>
      <c r="AV79" s="191"/>
      <c r="AW79" s="191"/>
      <c r="AX79" s="191"/>
      <c r="AY79" s="191"/>
      <c r="AZ79" s="191"/>
      <c r="BA79" s="191"/>
      <c r="BB79" s="182"/>
      <c r="BC79" s="175"/>
      <c r="BD79" s="175"/>
      <c r="BE79" s="8" t="s">
        <v>505</v>
      </c>
      <c r="BF79" s="8" t="s">
        <v>92</v>
      </c>
      <c r="BG79" s="28" t="s">
        <v>593</v>
      </c>
      <c r="BH79" s="28" t="s">
        <v>593</v>
      </c>
    </row>
    <row r="80" spans="1:60" s="187" customFormat="1" ht="58" x14ac:dyDescent="0.35">
      <c r="A80" s="54"/>
      <c r="B80" s="54"/>
      <c r="C80" s="41"/>
      <c r="D80" s="245"/>
      <c r="E80" s="41"/>
      <c r="F80" s="41"/>
      <c r="G80" s="41"/>
      <c r="H80" s="246"/>
      <c r="I80" s="247"/>
      <c r="J80" s="246"/>
      <c r="K80" s="246"/>
      <c r="L80" s="247"/>
      <c r="M80" s="247"/>
      <c r="N80" s="247"/>
      <c r="O80" s="247"/>
      <c r="P80" s="246"/>
      <c r="Q80" s="192"/>
      <c r="R80" s="193"/>
      <c r="S80" s="193"/>
      <c r="T80" s="193"/>
      <c r="U80" s="192"/>
      <c r="V80" s="192"/>
      <c r="W80" s="41" t="s">
        <v>594</v>
      </c>
      <c r="X80" s="41" t="s">
        <v>802</v>
      </c>
      <c r="Y80" s="57" t="s">
        <v>65</v>
      </c>
      <c r="Z80" s="57" t="s">
        <v>65</v>
      </c>
      <c r="AA80" s="37"/>
      <c r="AB80" s="41" t="s">
        <v>808</v>
      </c>
      <c r="AC80" s="243" t="s">
        <v>809</v>
      </c>
      <c r="AD80" s="212">
        <v>45139</v>
      </c>
      <c r="AE80" s="289">
        <v>45289</v>
      </c>
      <c r="AF80" s="195" t="s">
        <v>810</v>
      </c>
      <c r="AG80" s="195" t="s">
        <v>811</v>
      </c>
      <c r="AH80" s="217">
        <v>2</v>
      </c>
      <c r="AI80" s="210" t="s">
        <v>555</v>
      </c>
      <c r="AJ80" s="195" t="s">
        <v>556</v>
      </c>
      <c r="AK80" s="53"/>
      <c r="AL80" s="55"/>
      <c r="AM80" s="55"/>
      <c r="AN80" s="53">
        <v>2</v>
      </c>
      <c r="AO80" s="53">
        <v>2</v>
      </c>
      <c r="AP80" s="182"/>
      <c r="AQ80" s="182"/>
      <c r="AR80" s="182"/>
      <c r="AS80" s="191"/>
      <c r="AT80" s="191"/>
      <c r="AU80" s="191"/>
      <c r="AV80" s="191"/>
      <c r="AW80" s="191"/>
      <c r="AX80" s="191"/>
      <c r="AY80" s="191"/>
      <c r="AZ80" s="191"/>
      <c r="BA80" s="191"/>
      <c r="BB80" s="182"/>
      <c r="BC80" s="175"/>
      <c r="BD80" s="175"/>
      <c r="BE80" s="8" t="s">
        <v>505</v>
      </c>
      <c r="BF80" s="8" t="s">
        <v>92</v>
      </c>
      <c r="BG80" s="28" t="s">
        <v>593</v>
      </c>
      <c r="BH80" s="28" t="s">
        <v>593</v>
      </c>
    </row>
    <row r="81" spans="1:60" ht="72.5" x14ac:dyDescent="0.35">
      <c r="A81" s="54"/>
      <c r="B81" s="54"/>
      <c r="C81" s="41"/>
      <c r="D81" s="245"/>
      <c r="E81" s="41"/>
      <c r="F81" s="41"/>
      <c r="G81" s="41"/>
      <c r="H81" s="246"/>
      <c r="I81" s="247"/>
      <c r="J81" s="246"/>
      <c r="K81" s="246"/>
      <c r="L81" s="247"/>
      <c r="M81" s="247"/>
      <c r="N81" s="247"/>
      <c r="O81" s="247"/>
      <c r="P81" s="246"/>
      <c r="Q81" s="248"/>
      <c r="R81" s="249"/>
      <c r="S81" s="249"/>
      <c r="T81" s="249"/>
      <c r="U81" s="248"/>
      <c r="V81" s="248"/>
      <c r="W81" s="41" t="s">
        <v>594</v>
      </c>
      <c r="X81" s="41" t="s">
        <v>802</v>
      </c>
      <c r="Y81" s="57" t="s">
        <v>65</v>
      </c>
      <c r="Z81" s="57" t="s">
        <v>65</v>
      </c>
      <c r="AA81" s="37"/>
      <c r="AB81" s="41" t="s">
        <v>608</v>
      </c>
      <c r="AC81" s="243" t="s">
        <v>609</v>
      </c>
      <c r="AD81" s="212">
        <v>45170</v>
      </c>
      <c r="AE81" s="289">
        <v>45289</v>
      </c>
      <c r="AF81" s="195" t="s">
        <v>477</v>
      </c>
      <c r="AG81" s="195" t="s">
        <v>86</v>
      </c>
      <c r="AH81" s="217">
        <v>2</v>
      </c>
      <c r="AI81" s="210" t="s">
        <v>555</v>
      </c>
      <c r="AJ81" s="195" t="s">
        <v>556</v>
      </c>
      <c r="AK81" s="53"/>
      <c r="AL81" s="55"/>
      <c r="AM81" s="55"/>
      <c r="AN81" s="53">
        <v>2</v>
      </c>
      <c r="AO81" s="53">
        <v>2</v>
      </c>
      <c r="AP81" s="55"/>
      <c r="AQ81" s="55"/>
      <c r="AR81" s="55"/>
      <c r="AS81" s="69"/>
      <c r="AT81" s="69"/>
      <c r="AU81" s="69"/>
      <c r="AV81" s="69"/>
      <c r="AW81" s="69"/>
      <c r="AX81" s="69"/>
      <c r="AY81" s="69"/>
      <c r="AZ81" s="69"/>
      <c r="BA81" s="69"/>
      <c r="BB81" s="55"/>
      <c r="BC81" s="17"/>
      <c r="BD81" s="17"/>
      <c r="BE81" s="8" t="s">
        <v>505</v>
      </c>
      <c r="BF81" s="8" t="s">
        <v>92</v>
      </c>
      <c r="BG81" s="28" t="s">
        <v>557</v>
      </c>
      <c r="BH81" s="28" t="s">
        <v>593</v>
      </c>
    </row>
    <row r="82" spans="1:60" ht="101.5" x14ac:dyDescent="0.35">
      <c r="A82" s="54" t="s">
        <v>62</v>
      </c>
      <c r="B82" s="54" t="s">
        <v>63</v>
      </c>
      <c r="C82" s="41" t="s">
        <v>68</v>
      </c>
      <c r="D82" s="245"/>
      <c r="E82" s="41" t="s">
        <v>801</v>
      </c>
      <c r="F82" s="41"/>
      <c r="G82" s="41" t="s">
        <v>604</v>
      </c>
      <c r="H82" s="57" t="s">
        <v>605</v>
      </c>
      <c r="I82" s="57">
        <v>2</v>
      </c>
      <c r="J82" s="57" t="s">
        <v>555</v>
      </c>
      <c r="K82" s="57" t="s">
        <v>622</v>
      </c>
      <c r="L82" s="8">
        <v>2</v>
      </c>
      <c r="M82" s="247"/>
      <c r="N82" s="247"/>
      <c r="O82" s="247"/>
      <c r="P82" s="8">
        <v>2</v>
      </c>
      <c r="Q82" s="248"/>
      <c r="R82" s="249"/>
      <c r="S82" s="249"/>
      <c r="T82" s="249"/>
      <c r="U82" s="248"/>
      <c r="V82" s="248"/>
      <c r="W82" s="41" t="s">
        <v>594</v>
      </c>
      <c r="X82" s="41" t="s">
        <v>802</v>
      </c>
      <c r="Y82" s="57" t="s">
        <v>65</v>
      </c>
      <c r="Z82" s="57" t="s">
        <v>65</v>
      </c>
      <c r="AA82" s="37"/>
      <c r="AB82" s="41" t="s">
        <v>611</v>
      </c>
      <c r="AC82" s="48" t="s">
        <v>612</v>
      </c>
      <c r="AD82" s="212">
        <v>45293</v>
      </c>
      <c r="AE82" s="289">
        <v>45378</v>
      </c>
      <c r="AF82" s="210" t="s">
        <v>613</v>
      </c>
      <c r="AG82" s="210" t="s">
        <v>614</v>
      </c>
      <c r="AH82" s="217">
        <v>3</v>
      </c>
      <c r="AI82" s="210" t="s">
        <v>555</v>
      </c>
      <c r="AJ82" s="210" t="s">
        <v>615</v>
      </c>
      <c r="AK82" s="237">
        <v>3</v>
      </c>
      <c r="AL82" s="238"/>
      <c r="AM82" s="238"/>
      <c r="AN82" s="238"/>
      <c r="AO82" s="237">
        <v>3</v>
      </c>
      <c r="AP82" s="55"/>
      <c r="AQ82" s="55"/>
      <c r="AR82" s="55"/>
      <c r="AS82" s="69"/>
      <c r="AT82" s="69"/>
      <c r="AU82" s="69"/>
      <c r="AV82" s="69"/>
      <c r="AW82" s="69"/>
      <c r="AX82" s="69"/>
      <c r="AY82" s="69"/>
      <c r="AZ82" s="69"/>
      <c r="BA82" s="69"/>
      <c r="BB82" s="55"/>
      <c r="BC82" s="17"/>
      <c r="BD82" s="17"/>
      <c r="BE82" s="8" t="s">
        <v>505</v>
      </c>
      <c r="BF82" s="8" t="s">
        <v>92</v>
      </c>
      <c r="BG82" s="28" t="s">
        <v>786</v>
      </c>
      <c r="BH82" s="28" t="s">
        <v>593</v>
      </c>
    </row>
    <row r="83" spans="1:60" ht="72.5" x14ac:dyDescent="0.35">
      <c r="A83" s="54"/>
      <c r="B83" s="54"/>
      <c r="C83" s="41"/>
      <c r="D83" s="245"/>
      <c r="E83" s="41"/>
      <c r="F83" s="41"/>
      <c r="G83" s="41"/>
      <c r="H83" s="246"/>
      <c r="I83" s="247"/>
      <c r="J83" s="246"/>
      <c r="K83" s="246"/>
      <c r="L83" s="247"/>
      <c r="M83" s="247"/>
      <c r="N83" s="247"/>
      <c r="O83" s="247"/>
      <c r="P83" s="246"/>
      <c r="Q83" s="248"/>
      <c r="R83" s="249"/>
      <c r="S83" s="249"/>
      <c r="T83" s="249"/>
      <c r="U83" s="248"/>
      <c r="V83" s="248"/>
      <c r="W83" s="41" t="s">
        <v>594</v>
      </c>
      <c r="X83" s="41" t="s">
        <v>802</v>
      </c>
      <c r="Y83" s="57" t="s">
        <v>65</v>
      </c>
      <c r="Z83" s="57" t="s">
        <v>65</v>
      </c>
      <c r="AA83" s="37"/>
      <c r="AB83" s="41" t="s">
        <v>617</v>
      </c>
      <c r="AC83" s="243" t="s">
        <v>618</v>
      </c>
      <c r="AD83" s="212">
        <v>45293</v>
      </c>
      <c r="AE83" s="289">
        <v>45378</v>
      </c>
      <c r="AF83" s="195" t="s">
        <v>619</v>
      </c>
      <c r="AG83" s="195" t="s">
        <v>99</v>
      </c>
      <c r="AH83" s="217">
        <v>2</v>
      </c>
      <c r="AI83" s="210" t="s">
        <v>555</v>
      </c>
      <c r="AJ83" s="195" t="s">
        <v>556</v>
      </c>
      <c r="AK83" s="53">
        <v>2</v>
      </c>
      <c r="AL83" s="55"/>
      <c r="AM83" s="55"/>
      <c r="AN83" s="55"/>
      <c r="AO83" s="53">
        <v>2</v>
      </c>
      <c r="AP83" s="55"/>
      <c r="AQ83" s="55"/>
      <c r="AR83" s="55"/>
      <c r="AS83" s="69"/>
      <c r="AT83" s="69"/>
      <c r="AU83" s="69"/>
      <c r="AV83" s="69"/>
      <c r="AW83" s="69"/>
      <c r="AX83" s="69"/>
      <c r="AY83" s="69"/>
      <c r="AZ83" s="69"/>
      <c r="BA83" s="69"/>
      <c r="BB83" s="55"/>
      <c r="BC83" s="17"/>
      <c r="BD83" s="17"/>
      <c r="BE83" s="8" t="s">
        <v>505</v>
      </c>
      <c r="BF83" s="8" t="s">
        <v>92</v>
      </c>
      <c r="BG83" s="28" t="s">
        <v>557</v>
      </c>
      <c r="BH83" s="28" t="s">
        <v>593</v>
      </c>
    </row>
    <row r="84" spans="1:60" s="187" customFormat="1" ht="72.5" x14ac:dyDescent="0.35">
      <c r="A84" s="54" t="s">
        <v>62</v>
      </c>
      <c r="B84" s="54" t="s">
        <v>63</v>
      </c>
      <c r="C84" s="41" t="s">
        <v>68</v>
      </c>
      <c r="D84" s="245"/>
      <c r="E84" s="41" t="s">
        <v>812</v>
      </c>
      <c r="F84" s="41"/>
      <c r="G84" s="41" t="s">
        <v>604</v>
      </c>
      <c r="H84" s="57" t="s">
        <v>605</v>
      </c>
      <c r="I84" s="57">
        <v>2</v>
      </c>
      <c r="J84" s="57" t="s">
        <v>555</v>
      </c>
      <c r="K84" s="57" t="s">
        <v>622</v>
      </c>
      <c r="L84" s="247"/>
      <c r="M84" s="247"/>
      <c r="N84" s="8">
        <v>2</v>
      </c>
      <c r="O84" s="247"/>
      <c r="P84" s="8">
        <v>2</v>
      </c>
      <c r="Q84" s="192"/>
      <c r="R84" s="193"/>
      <c r="S84" s="193"/>
      <c r="T84" s="193"/>
      <c r="U84" s="192"/>
      <c r="V84" s="192"/>
      <c r="W84" s="41" t="s">
        <v>813</v>
      </c>
      <c r="X84" s="41" t="s">
        <v>814</v>
      </c>
      <c r="Y84" s="57" t="s">
        <v>65</v>
      </c>
      <c r="Z84" s="57" t="s">
        <v>65</v>
      </c>
      <c r="AA84" s="37"/>
      <c r="AB84" s="41" t="s">
        <v>815</v>
      </c>
      <c r="AC84" s="243" t="s">
        <v>816</v>
      </c>
      <c r="AD84" s="42">
        <v>45139</v>
      </c>
      <c r="AE84" s="258">
        <v>45289</v>
      </c>
      <c r="AF84" s="41" t="s">
        <v>817</v>
      </c>
      <c r="AG84" s="41" t="s">
        <v>818</v>
      </c>
      <c r="AH84" s="57">
        <v>2</v>
      </c>
      <c r="AI84" s="48" t="s">
        <v>555</v>
      </c>
      <c r="AJ84" s="41" t="s">
        <v>819</v>
      </c>
      <c r="AK84" s="53"/>
      <c r="AL84" s="55"/>
      <c r="AM84" s="53"/>
      <c r="AN84" s="53">
        <v>2</v>
      </c>
      <c r="AO84" s="53">
        <v>2</v>
      </c>
      <c r="AP84" s="182"/>
      <c r="AQ84" s="182"/>
      <c r="AR84" s="182"/>
      <c r="AS84" s="191"/>
      <c r="AT84" s="191"/>
      <c r="AU84" s="191"/>
      <c r="AV84" s="191"/>
      <c r="AW84" s="191"/>
      <c r="AX84" s="191"/>
      <c r="AY84" s="191"/>
      <c r="AZ84" s="191"/>
      <c r="BA84" s="191"/>
      <c r="BB84" s="182"/>
      <c r="BC84" s="175"/>
      <c r="BD84" s="175"/>
      <c r="BE84" s="8" t="s">
        <v>505</v>
      </c>
      <c r="BF84" s="8" t="s">
        <v>92</v>
      </c>
      <c r="BG84" s="281" t="s">
        <v>820</v>
      </c>
      <c r="BH84" s="28" t="s">
        <v>821</v>
      </c>
    </row>
    <row r="85" spans="1:60" s="187" customFormat="1" ht="58" x14ac:dyDescent="0.35">
      <c r="A85" s="54"/>
      <c r="B85" s="54"/>
      <c r="C85" s="41"/>
      <c r="D85" s="245"/>
      <c r="E85" s="41"/>
      <c r="F85" s="41"/>
      <c r="G85" s="41"/>
      <c r="H85" s="246"/>
      <c r="I85" s="247"/>
      <c r="J85" s="246"/>
      <c r="K85" s="246"/>
      <c r="L85" s="247"/>
      <c r="M85" s="247"/>
      <c r="N85" s="247"/>
      <c r="O85" s="247"/>
      <c r="P85" s="246"/>
      <c r="Q85" s="192"/>
      <c r="R85" s="193"/>
      <c r="S85" s="193"/>
      <c r="T85" s="193"/>
      <c r="U85" s="192"/>
      <c r="V85" s="192"/>
      <c r="W85" s="41" t="s">
        <v>813</v>
      </c>
      <c r="X85" s="41" t="s">
        <v>814</v>
      </c>
      <c r="Y85" s="57" t="s">
        <v>65</v>
      </c>
      <c r="Z85" s="57" t="s">
        <v>65</v>
      </c>
      <c r="AA85" s="37"/>
      <c r="AB85" s="41" t="s">
        <v>822</v>
      </c>
      <c r="AC85" s="243" t="s">
        <v>823</v>
      </c>
      <c r="AD85" s="42">
        <v>45293</v>
      </c>
      <c r="AE85" s="258">
        <v>45471</v>
      </c>
      <c r="AF85" s="41" t="s">
        <v>824</v>
      </c>
      <c r="AG85" s="41" t="s">
        <v>825</v>
      </c>
      <c r="AH85" s="57">
        <v>2</v>
      </c>
      <c r="AI85" s="48" t="s">
        <v>555</v>
      </c>
      <c r="AJ85" s="41" t="s">
        <v>649</v>
      </c>
      <c r="AK85" s="53"/>
      <c r="AL85" s="57">
        <v>2</v>
      </c>
      <c r="AM85" s="55"/>
      <c r="AN85" s="53"/>
      <c r="AO85" s="53">
        <v>2</v>
      </c>
      <c r="AP85" s="182"/>
      <c r="AQ85" s="182"/>
      <c r="AR85" s="182"/>
      <c r="AS85" s="191"/>
      <c r="AT85" s="191"/>
      <c r="AU85" s="191"/>
      <c r="AV85" s="191"/>
      <c r="AW85" s="191"/>
      <c r="AX85" s="191"/>
      <c r="AY85" s="191"/>
      <c r="AZ85" s="191"/>
      <c r="BA85" s="191"/>
      <c r="BB85" s="182"/>
      <c r="BC85" s="175"/>
      <c r="BD85" s="175"/>
      <c r="BE85" s="8" t="s">
        <v>505</v>
      </c>
      <c r="BF85" s="8" t="s">
        <v>92</v>
      </c>
      <c r="BG85" s="281" t="s">
        <v>820</v>
      </c>
      <c r="BH85" s="28" t="s">
        <v>821</v>
      </c>
    </row>
    <row r="86" spans="1:60" s="187" customFormat="1" ht="189" thickBot="1" x14ac:dyDescent="0.4">
      <c r="A86" s="54"/>
      <c r="B86" s="54"/>
      <c r="C86" s="41"/>
      <c r="D86" s="245"/>
      <c r="E86" s="41"/>
      <c r="F86" s="41"/>
      <c r="G86" s="41"/>
      <c r="H86" s="246"/>
      <c r="I86" s="247"/>
      <c r="J86" s="246"/>
      <c r="K86" s="246"/>
      <c r="L86" s="247"/>
      <c r="M86" s="247"/>
      <c r="N86" s="247"/>
      <c r="O86" s="247"/>
      <c r="P86" s="246"/>
      <c r="Q86" s="192"/>
      <c r="R86" s="193"/>
      <c r="S86" s="193"/>
      <c r="T86" s="193"/>
      <c r="U86" s="192"/>
      <c r="V86" s="192"/>
      <c r="W86" s="41" t="s">
        <v>813</v>
      </c>
      <c r="X86" s="41" t="s">
        <v>814</v>
      </c>
      <c r="Y86" s="57" t="s">
        <v>65</v>
      </c>
      <c r="Z86" s="57" t="s">
        <v>65</v>
      </c>
      <c r="AA86" s="37"/>
      <c r="AB86" s="41" t="s">
        <v>826</v>
      </c>
      <c r="AC86" s="243" t="s">
        <v>827</v>
      </c>
      <c r="AD86" s="42">
        <v>45139</v>
      </c>
      <c r="AE86" s="258">
        <v>45289</v>
      </c>
      <c r="AF86" s="41" t="s">
        <v>619</v>
      </c>
      <c r="AG86" s="41" t="s">
        <v>99</v>
      </c>
      <c r="AH86" s="57">
        <v>22</v>
      </c>
      <c r="AI86" s="48" t="s">
        <v>555</v>
      </c>
      <c r="AJ86" s="41" t="s">
        <v>615</v>
      </c>
      <c r="AK86" s="53"/>
      <c r="AL86" s="55"/>
      <c r="AM86" s="55"/>
      <c r="AN86" s="53">
        <v>22</v>
      </c>
      <c r="AO86" s="53">
        <v>22</v>
      </c>
      <c r="AP86" s="182"/>
      <c r="AQ86" s="182"/>
      <c r="AR86" s="182"/>
      <c r="AS86" s="191"/>
      <c r="AT86" s="191"/>
      <c r="AU86" s="191"/>
      <c r="AV86" s="191"/>
      <c r="AW86" s="191"/>
      <c r="AX86" s="191"/>
      <c r="AY86" s="191"/>
      <c r="AZ86" s="191"/>
      <c r="BA86" s="191"/>
      <c r="BB86" s="182"/>
      <c r="BC86" s="175"/>
      <c r="BD86" s="175"/>
      <c r="BE86" s="8" t="s">
        <v>505</v>
      </c>
      <c r="BF86" s="8" t="s">
        <v>92</v>
      </c>
      <c r="BG86" s="28" t="s">
        <v>828</v>
      </c>
      <c r="BH86" s="28" t="s">
        <v>821</v>
      </c>
    </row>
    <row r="87" spans="1:60" ht="73" thickBot="1" x14ac:dyDescent="0.4">
      <c r="A87" s="54"/>
      <c r="B87" s="54"/>
      <c r="C87" s="41"/>
      <c r="D87" s="245"/>
      <c r="E87" s="41"/>
      <c r="F87" s="41"/>
      <c r="G87" s="41"/>
      <c r="H87" s="246"/>
      <c r="I87" s="247"/>
      <c r="J87" s="246"/>
      <c r="K87" s="246"/>
      <c r="L87" s="247"/>
      <c r="M87" s="247"/>
      <c r="N87" s="247"/>
      <c r="O87" s="247"/>
      <c r="P87" s="246"/>
      <c r="Q87" s="248"/>
      <c r="R87" s="249"/>
      <c r="S87" s="249"/>
      <c r="T87" s="249"/>
      <c r="U87" s="248"/>
      <c r="V87" s="248"/>
      <c r="W87" s="41" t="s">
        <v>813</v>
      </c>
      <c r="X87" s="41" t="s">
        <v>814</v>
      </c>
      <c r="Y87" s="57" t="s">
        <v>65</v>
      </c>
      <c r="Z87" s="57" t="s">
        <v>65</v>
      </c>
      <c r="AA87" s="37"/>
      <c r="AB87" s="41" t="s">
        <v>608</v>
      </c>
      <c r="AC87" s="243" t="s">
        <v>609</v>
      </c>
      <c r="AD87" s="42">
        <v>45170</v>
      </c>
      <c r="AE87" s="258">
        <v>45289</v>
      </c>
      <c r="AF87" s="41" t="s">
        <v>477</v>
      </c>
      <c r="AG87" s="41" t="s">
        <v>86</v>
      </c>
      <c r="AH87" s="57">
        <v>2</v>
      </c>
      <c r="AI87" s="48" t="s">
        <v>555</v>
      </c>
      <c r="AJ87" s="41" t="s">
        <v>610</v>
      </c>
      <c r="AK87" s="53"/>
      <c r="AL87" s="55"/>
      <c r="AM87" s="55"/>
      <c r="AN87" s="53">
        <v>2</v>
      </c>
      <c r="AO87" s="53">
        <v>2</v>
      </c>
      <c r="AP87" s="55"/>
      <c r="AQ87" s="55"/>
      <c r="AR87" s="55"/>
      <c r="AS87" s="69"/>
      <c r="AT87" s="69"/>
      <c r="AU87" s="69"/>
      <c r="AV87" s="69"/>
      <c r="AW87" s="69"/>
      <c r="AX87" s="69"/>
      <c r="AY87" s="69"/>
      <c r="AZ87" s="69"/>
      <c r="BA87" s="69"/>
      <c r="BB87" s="55"/>
      <c r="BC87" s="17"/>
      <c r="BD87" s="17"/>
      <c r="BE87" s="8" t="s">
        <v>505</v>
      </c>
      <c r="BF87" s="8" t="s">
        <v>92</v>
      </c>
      <c r="BG87" s="28" t="s">
        <v>557</v>
      </c>
      <c r="BH87" s="272" t="s">
        <v>708</v>
      </c>
    </row>
    <row r="88" spans="1:60" ht="87.5" thickBot="1" x14ac:dyDescent="0.4">
      <c r="A88" s="54" t="s">
        <v>62</v>
      </c>
      <c r="B88" s="54" t="s">
        <v>63</v>
      </c>
      <c r="C88" s="41" t="s">
        <v>68</v>
      </c>
      <c r="D88" s="245"/>
      <c r="E88" s="41" t="s">
        <v>812</v>
      </c>
      <c r="F88" s="41"/>
      <c r="G88" s="41" t="s">
        <v>604</v>
      </c>
      <c r="H88" s="57" t="s">
        <v>605</v>
      </c>
      <c r="I88" s="57">
        <v>2</v>
      </c>
      <c r="J88" s="57" t="s">
        <v>555</v>
      </c>
      <c r="K88" s="57" t="s">
        <v>622</v>
      </c>
      <c r="L88" s="8">
        <v>2</v>
      </c>
      <c r="M88" s="8"/>
      <c r="N88" s="8"/>
      <c r="O88" s="8"/>
      <c r="P88" s="8">
        <v>2</v>
      </c>
      <c r="Q88" s="36"/>
      <c r="R88" s="20"/>
      <c r="S88" s="20"/>
      <c r="T88" s="20"/>
      <c r="U88" s="36"/>
      <c r="V88" s="36"/>
      <c r="W88" s="41" t="s">
        <v>813</v>
      </c>
      <c r="X88" s="41" t="s">
        <v>814</v>
      </c>
      <c r="Y88" s="57" t="s">
        <v>65</v>
      </c>
      <c r="Z88" s="57" t="s">
        <v>65</v>
      </c>
      <c r="AA88" s="37"/>
      <c r="AB88" s="41" t="s">
        <v>611</v>
      </c>
      <c r="AC88" s="48" t="s">
        <v>612</v>
      </c>
      <c r="AD88" s="42">
        <v>45293</v>
      </c>
      <c r="AE88" s="258">
        <v>45378</v>
      </c>
      <c r="AF88" s="48" t="s">
        <v>613</v>
      </c>
      <c r="AG88" s="48" t="s">
        <v>614</v>
      </c>
      <c r="AH88" s="57">
        <v>3</v>
      </c>
      <c r="AI88" s="48" t="s">
        <v>555</v>
      </c>
      <c r="AJ88" s="48" t="s">
        <v>615</v>
      </c>
      <c r="AK88" s="237">
        <v>3</v>
      </c>
      <c r="AL88" s="238"/>
      <c r="AM88" s="238"/>
      <c r="AN88" s="238"/>
      <c r="AO88" s="237">
        <v>3</v>
      </c>
      <c r="AP88" s="55"/>
      <c r="AQ88" s="55"/>
      <c r="AR88" s="55"/>
      <c r="AS88" s="69"/>
      <c r="AT88" s="69"/>
      <c r="AU88" s="69"/>
      <c r="AV88" s="69"/>
      <c r="AW88" s="69"/>
      <c r="AX88" s="69"/>
      <c r="AY88" s="69"/>
      <c r="AZ88" s="69"/>
      <c r="BA88" s="69"/>
      <c r="BB88" s="55"/>
      <c r="BC88" s="17"/>
      <c r="BD88" s="17"/>
      <c r="BE88" s="8" t="s">
        <v>505</v>
      </c>
      <c r="BF88" s="8" t="s">
        <v>92</v>
      </c>
      <c r="BG88" s="28" t="s">
        <v>829</v>
      </c>
      <c r="BH88" s="272" t="s">
        <v>708</v>
      </c>
    </row>
    <row r="89" spans="1:60" ht="72.5" x14ac:dyDescent="0.35">
      <c r="A89" s="54"/>
      <c r="B89" s="54"/>
      <c r="C89" s="41"/>
      <c r="D89" s="41"/>
      <c r="E89" s="41"/>
      <c r="F89" s="41"/>
      <c r="G89" s="41"/>
      <c r="H89" s="8"/>
      <c r="I89" s="37"/>
      <c r="J89" s="8"/>
      <c r="K89" s="8"/>
      <c r="L89" s="37"/>
      <c r="M89" s="37"/>
      <c r="N89" s="37"/>
      <c r="O89" s="37"/>
      <c r="P89" s="8"/>
      <c r="Q89" s="36"/>
      <c r="R89" s="20"/>
      <c r="S89" s="20"/>
      <c r="T89" s="20"/>
      <c r="U89" s="36"/>
      <c r="V89" s="36"/>
      <c r="W89" s="41" t="s">
        <v>813</v>
      </c>
      <c r="X89" s="41" t="s">
        <v>814</v>
      </c>
      <c r="Y89" s="57" t="s">
        <v>65</v>
      </c>
      <c r="Z89" s="57" t="s">
        <v>65</v>
      </c>
      <c r="AA89" s="37"/>
      <c r="AB89" s="41" t="s">
        <v>617</v>
      </c>
      <c r="AC89" s="243" t="s">
        <v>618</v>
      </c>
      <c r="AD89" s="42">
        <v>45293</v>
      </c>
      <c r="AE89" s="258">
        <v>45378</v>
      </c>
      <c r="AF89" s="41" t="s">
        <v>619</v>
      </c>
      <c r="AG89" s="41" t="s">
        <v>99</v>
      </c>
      <c r="AH89" s="57">
        <v>2</v>
      </c>
      <c r="AI89" s="48" t="s">
        <v>555</v>
      </c>
      <c r="AJ89" s="41" t="s">
        <v>610</v>
      </c>
      <c r="AK89" s="53">
        <v>2</v>
      </c>
      <c r="AL89" s="55"/>
      <c r="AM89" s="55"/>
      <c r="AN89" s="55"/>
      <c r="AO89" s="53">
        <v>2</v>
      </c>
      <c r="AP89" s="55"/>
      <c r="AQ89" s="55"/>
      <c r="AR89" s="55"/>
      <c r="AS89" s="69"/>
      <c r="AT89" s="69"/>
      <c r="AU89" s="69"/>
      <c r="AV89" s="69"/>
      <c r="AW89" s="69"/>
      <c r="AX89" s="69"/>
      <c r="AY89" s="69"/>
      <c r="AZ89" s="69"/>
      <c r="BA89" s="69"/>
      <c r="BB89" s="55"/>
      <c r="BC89" s="17"/>
      <c r="BD89" s="17"/>
      <c r="BE89" s="8" t="s">
        <v>505</v>
      </c>
      <c r="BF89" s="8" t="s">
        <v>92</v>
      </c>
      <c r="BG89" s="28" t="s">
        <v>557</v>
      </c>
      <c r="BH89" s="272" t="s">
        <v>708</v>
      </c>
    </row>
    <row r="90" spans="1:60" s="187" customFormat="1" ht="43.5" x14ac:dyDescent="0.35">
      <c r="A90" s="54" t="s">
        <v>62</v>
      </c>
      <c r="B90" s="54" t="s">
        <v>63</v>
      </c>
      <c r="C90" s="41" t="s">
        <v>68</v>
      </c>
      <c r="D90" s="41"/>
      <c r="E90" s="41" t="s">
        <v>830</v>
      </c>
      <c r="F90" s="41"/>
      <c r="G90" s="41" t="s">
        <v>604</v>
      </c>
      <c r="H90" s="8" t="s">
        <v>605</v>
      </c>
      <c r="I90" s="57">
        <v>2</v>
      </c>
      <c r="J90" s="8" t="s">
        <v>555</v>
      </c>
      <c r="K90" s="8" t="s">
        <v>556</v>
      </c>
      <c r="L90" s="37"/>
      <c r="M90" s="37"/>
      <c r="N90" s="8">
        <v>2</v>
      </c>
      <c r="O90" s="37"/>
      <c r="P90" s="8">
        <v>2</v>
      </c>
      <c r="Q90" s="180"/>
      <c r="R90" s="181"/>
      <c r="S90" s="181"/>
      <c r="T90" s="181"/>
      <c r="U90" s="180"/>
      <c r="V90" s="180"/>
      <c r="W90" s="41" t="s">
        <v>831</v>
      </c>
      <c r="X90" s="41" t="s">
        <v>831</v>
      </c>
      <c r="Y90" s="57" t="s">
        <v>65</v>
      </c>
      <c r="Z90" s="57" t="s">
        <v>65</v>
      </c>
      <c r="AA90" s="37"/>
      <c r="AB90" s="41" t="s">
        <v>608</v>
      </c>
      <c r="AC90" s="243" t="s">
        <v>609</v>
      </c>
      <c r="AD90" s="42">
        <v>45170</v>
      </c>
      <c r="AE90" s="258">
        <v>45289</v>
      </c>
      <c r="AF90" s="41" t="s">
        <v>477</v>
      </c>
      <c r="AG90" s="41" t="s">
        <v>86</v>
      </c>
      <c r="AH90" s="57">
        <v>2</v>
      </c>
      <c r="AI90" s="57" t="s">
        <v>555</v>
      </c>
      <c r="AJ90" s="41" t="s">
        <v>610</v>
      </c>
      <c r="AK90" s="53"/>
      <c r="AL90" s="55"/>
      <c r="AM90" s="55"/>
      <c r="AN90" s="53">
        <v>2</v>
      </c>
      <c r="AO90" s="53">
        <v>2</v>
      </c>
      <c r="AP90" s="182"/>
      <c r="AQ90" s="182"/>
      <c r="AR90" s="182"/>
      <c r="AS90" s="191"/>
      <c r="AT90" s="191"/>
      <c r="AU90" s="191"/>
      <c r="AV90" s="191"/>
      <c r="AW90" s="191"/>
      <c r="AX90" s="191"/>
      <c r="AY90" s="191"/>
      <c r="AZ90" s="191"/>
      <c r="BA90" s="191"/>
      <c r="BB90" s="182"/>
      <c r="BC90" s="175"/>
      <c r="BD90" s="175"/>
      <c r="BE90" s="8" t="s">
        <v>505</v>
      </c>
      <c r="BF90" s="8" t="s">
        <v>215</v>
      </c>
      <c r="BG90" s="28" t="s">
        <v>832</v>
      </c>
      <c r="BH90" s="28" t="s">
        <v>833</v>
      </c>
    </row>
    <row r="91" spans="1:60" ht="87" x14ac:dyDescent="0.35">
      <c r="A91" s="54" t="s">
        <v>62</v>
      </c>
      <c r="B91" s="54" t="s">
        <v>63</v>
      </c>
      <c r="C91" s="41" t="s">
        <v>68</v>
      </c>
      <c r="D91" s="41"/>
      <c r="E91" s="41" t="s">
        <v>830</v>
      </c>
      <c r="F91" s="41"/>
      <c r="G91" s="41" t="s">
        <v>604</v>
      </c>
      <c r="H91" s="8" t="s">
        <v>605</v>
      </c>
      <c r="I91" s="57">
        <v>2</v>
      </c>
      <c r="J91" s="8" t="s">
        <v>555</v>
      </c>
      <c r="K91" s="8" t="s">
        <v>556</v>
      </c>
      <c r="L91" s="8">
        <v>2</v>
      </c>
      <c r="M91" s="37"/>
      <c r="N91" s="37"/>
      <c r="O91" s="37"/>
      <c r="P91" s="8">
        <v>2</v>
      </c>
      <c r="Q91" s="36"/>
      <c r="R91" s="20"/>
      <c r="S91" s="20"/>
      <c r="T91" s="20"/>
      <c r="U91" s="36"/>
      <c r="V91" s="36"/>
      <c r="W91" s="41" t="s">
        <v>831</v>
      </c>
      <c r="X91" s="41" t="s">
        <v>831</v>
      </c>
      <c r="Y91" s="57" t="s">
        <v>65</v>
      </c>
      <c r="Z91" s="57" t="s">
        <v>65</v>
      </c>
      <c r="AA91" s="37"/>
      <c r="AB91" s="41" t="s">
        <v>611</v>
      </c>
      <c r="AC91" s="41" t="s">
        <v>612</v>
      </c>
      <c r="AD91" s="49">
        <v>45293</v>
      </c>
      <c r="AE91" s="50">
        <v>45378</v>
      </c>
      <c r="AF91" s="41" t="s">
        <v>613</v>
      </c>
      <c r="AG91" s="8" t="s">
        <v>614</v>
      </c>
      <c r="AH91" s="53">
        <v>3</v>
      </c>
      <c r="AI91" s="8" t="s">
        <v>555</v>
      </c>
      <c r="AJ91" s="41" t="s">
        <v>615</v>
      </c>
      <c r="AK91" s="53">
        <v>3</v>
      </c>
      <c r="AL91" s="55"/>
      <c r="AM91" s="55"/>
      <c r="AN91" s="55"/>
      <c r="AO91" s="53">
        <v>3</v>
      </c>
      <c r="AP91" s="55"/>
      <c r="AQ91" s="55"/>
      <c r="AR91" s="55"/>
      <c r="AS91" s="69"/>
      <c r="AT91" s="69"/>
      <c r="AU91" s="69"/>
      <c r="AV91" s="69"/>
      <c r="AW91" s="69"/>
      <c r="AX91" s="69"/>
      <c r="AY91" s="69"/>
      <c r="AZ91" s="69"/>
      <c r="BA91" s="69"/>
      <c r="BB91" s="55"/>
      <c r="BC91" s="17"/>
      <c r="BD91" s="17"/>
      <c r="BE91" s="28" t="s">
        <v>505</v>
      </c>
      <c r="BF91" s="28" t="s">
        <v>215</v>
      </c>
      <c r="BG91" s="28" t="s">
        <v>834</v>
      </c>
      <c r="BH91" s="28" t="s">
        <v>833</v>
      </c>
    </row>
    <row r="92" spans="1:60" ht="43.5" x14ac:dyDescent="0.35">
      <c r="A92" s="54"/>
      <c r="B92" s="54"/>
      <c r="C92" s="41"/>
      <c r="D92" s="41"/>
      <c r="E92" s="41"/>
      <c r="F92" s="41"/>
      <c r="G92" s="41"/>
      <c r="H92" s="8"/>
      <c r="I92" s="37"/>
      <c r="J92" s="8"/>
      <c r="K92" s="8"/>
      <c r="L92" s="37"/>
      <c r="M92" s="37"/>
      <c r="N92" s="37"/>
      <c r="O92" s="37"/>
      <c r="P92" s="8"/>
      <c r="Q92" s="36"/>
      <c r="R92" s="20"/>
      <c r="S92" s="20"/>
      <c r="T92" s="20"/>
      <c r="U92" s="36"/>
      <c r="V92" s="36"/>
      <c r="W92" s="41" t="s">
        <v>831</v>
      </c>
      <c r="X92" s="41" t="s">
        <v>831</v>
      </c>
      <c r="Y92" s="57" t="s">
        <v>65</v>
      </c>
      <c r="Z92" s="57" t="s">
        <v>65</v>
      </c>
      <c r="AA92" s="37"/>
      <c r="AB92" s="41" t="s">
        <v>617</v>
      </c>
      <c r="AC92" s="243" t="s">
        <v>618</v>
      </c>
      <c r="AD92" s="49">
        <v>45293</v>
      </c>
      <c r="AE92" s="50">
        <v>45378</v>
      </c>
      <c r="AF92" s="41" t="s">
        <v>619</v>
      </c>
      <c r="AG92" s="8" t="s">
        <v>99</v>
      </c>
      <c r="AH92" s="53">
        <v>2</v>
      </c>
      <c r="AI92" s="8" t="s">
        <v>555</v>
      </c>
      <c r="AJ92" s="41" t="s">
        <v>610</v>
      </c>
      <c r="AK92" s="53">
        <v>2</v>
      </c>
      <c r="AL92" s="55"/>
      <c r="AM92" s="55"/>
      <c r="AN92" s="55"/>
      <c r="AO92" s="53">
        <v>2</v>
      </c>
      <c r="AP92" s="55"/>
      <c r="AQ92" s="55"/>
      <c r="AR92" s="55"/>
      <c r="AS92" s="69"/>
      <c r="AT92" s="69"/>
      <c r="AU92" s="69"/>
      <c r="AV92" s="69"/>
      <c r="AW92" s="69"/>
      <c r="AX92" s="69"/>
      <c r="AY92" s="69"/>
      <c r="AZ92" s="69"/>
      <c r="BA92" s="69"/>
      <c r="BB92" s="55"/>
      <c r="BC92" s="17"/>
      <c r="BD92" s="17"/>
      <c r="BE92" s="28" t="s">
        <v>505</v>
      </c>
      <c r="BF92" s="28" t="s">
        <v>215</v>
      </c>
      <c r="BG92" s="28" t="s">
        <v>835</v>
      </c>
      <c r="BH92" s="28" t="s">
        <v>833</v>
      </c>
    </row>
    <row r="93" spans="1:60" ht="14.5" x14ac:dyDescent="0.35">
      <c r="AC93" s="6"/>
      <c r="AD93" s="13"/>
      <c r="AE93" s="14"/>
      <c r="AF93" s="6"/>
      <c r="AG93" s="7"/>
      <c r="AH93" s="15"/>
      <c r="AI93" s="7"/>
      <c r="AJ93" s="7"/>
      <c r="AL93" s="15"/>
      <c r="AM93" s="15"/>
      <c r="AN93" s="15"/>
      <c r="AO93" s="15"/>
      <c r="BE93" s="16"/>
      <c r="BF93" s="16"/>
      <c r="BG93" s="16"/>
      <c r="BH93" s="16"/>
    </row>
    <row r="94" spans="1:60" s="1" customFormat="1" ht="14.5" x14ac:dyDescent="0.35">
      <c r="A94" s="54" t="s">
        <v>4</v>
      </c>
      <c r="B94" s="323" t="s">
        <v>468</v>
      </c>
      <c r="C94" s="324"/>
      <c r="D94" s="66"/>
      <c r="E94" s="6"/>
      <c r="F94" s="6"/>
      <c r="G94" s="6"/>
      <c r="H94" s="7"/>
      <c r="I94" s="7"/>
      <c r="J94" s="7"/>
      <c r="K94" s="7"/>
      <c r="L94" s="7"/>
      <c r="M94" s="7"/>
      <c r="N94" s="7"/>
      <c r="O94" s="7"/>
      <c r="P94" s="7"/>
      <c r="W94" s="6"/>
      <c r="X94" s="6"/>
      <c r="Y94" s="7"/>
      <c r="Z94" s="7"/>
      <c r="AA94" s="7"/>
      <c r="AB94" s="6"/>
      <c r="AC94" s="5"/>
      <c r="AD94" s="4"/>
      <c r="AE94" s="4"/>
      <c r="AF94" s="5"/>
      <c r="AG94" s="4"/>
      <c r="AH94" s="4"/>
      <c r="AI94" s="4"/>
      <c r="AJ94" s="4"/>
      <c r="AK94" s="4"/>
      <c r="AL94" s="4"/>
      <c r="AM94" s="4"/>
      <c r="AN94" s="4"/>
      <c r="AO94" s="4"/>
      <c r="AP94"/>
      <c r="AQ94"/>
      <c r="AR94"/>
      <c r="AS94"/>
      <c r="AT94"/>
      <c r="AU94"/>
      <c r="AV94"/>
      <c r="AW94"/>
      <c r="AX94"/>
      <c r="AY94"/>
      <c r="AZ94"/>
      <c r="BA94"/>
      <c r="BB94"/>
      <c r="BC94"/>
      <c r="BD94"/>
      <c r="BE94" s="4"/>
      <c r="BF94" s="4"/>
      <c r="BG94" s="4"/>
      <c r="BH94" s="4"/>
    </row>
    <row r="95" spans="1:60" s="1" customFormat="1" ht="73.5" customHeight="1" x14ac:dyDescent="0.35">
      <c r="A95" s="41" t="s">
        <v>5</v>
      </c>
      <c r="B95" s="310"/>
      <c r="C95" s="311"/>
      <c r="D95" s="7"/>
      <c r="E95" s="6"/>
      <c r="F95" s="6"/>
      <c r="G95" s="6"/>
      <c r="H95" s="7"/>
      <c r="I95" s="7"/>
      <c r="J95" s="7"/>
      <c r="K95" s="7"/>
      <c r="L95" s="7"/>
      <c r="M95" s="7"/>
      <c r="N95" s="7"/>
      <c r="O95" s="7"/>
      <c r="P95" s="7"/>
      <c r="W95" s="6"/>
      <c r="X95" s="6"/>
      <c r="Y95" s="7"/>
      <c r="Z95" s="7"/>
      <c r="AA95" s="7"/>
      <c r="AB95" s="6"/>
      <c r="AC95" s="5"/>
      <c r="AD95" s="4"/>
      <c r="AE95" s="4"/>
      <c r="AF95" s="5"/>
      <c r="AG95" s="4"/>
      <c r="AH95" s="4"/>
      <c r="AI95" s="4"/>
      <c r="AJ95" s="4"/>
      <c r="AK95" s="4"/>
      <c r="AL95" s="4"/>
      <c r="AM95" s="4"/>
      <c r="AN95" s="4"/>
      <c r="AO95" s="4"/>
      <c r="AP95"/>
      <c r="AQ95"/>
      <c r="AR95"/>
      <c r="AS95"/>
      <c r="AT95"/>
      <c r="AU95"/>
      <c r="AV95"/>
      <c r="AW95"/>
      <c r="AX95"/>
      <c r="AY95"/>
      <c r="AZ95"/>
      <c r="BA95"/>
      <c r="BB95"/>
      <c r="BC95"/>
      <c r="BD95"/>
      <c r="BE95" s="4"/>
      <c r="BF95" s="4"/>
      <c r="BG95" s="4"/>
      <c r="BH95" s="4"/>
    </row>
    <row r="96" spans="1:60" s="1" customFormat="1" ht="14.5" x14ac:dyDescent="0.35">
      <c r="A96" s="5"/>
      <c r="B96" s="5"/>
      <c r="C96" s="6"/>
      <c r="D96" s="6"/>
      <c r="E96" s="6"/>
      <c r="F96" s="6"/>
      <c r="G96" s="6"/>
      <c r="H96" s="7"/>
      <c r="I96" s="7"/>
      <c r="J96" s="7"/>
      <c r="K96" s="7"/>
      <c r="L96" s="7"/>
      <c r="M96" s="7"/>
      <c r="N96" s="7"/>
      <c r="O96" s="7"/>
      <c r="P96" s="7"/>
      <c r="W96" s="6"/>
      <c r="X96" s="6"/>
      <c r="Y96" s="7"/>
      <c r="Z96" s="7"/>
      <c r="AA96" s="7"/>
      <c r="AB96" s="6"/>
      <c r="AC96" s="5"/>
      <c r="AD96" s="4"/>
      <c r="AE96" s="4"/>
      <c r="AF96" s="5"/>
      <c r="AG96" s="4"/>
      <c r="AH96" s="4"/>
      <c r="AI96" s="4"/>
      <c r="AJ96" s="4"/>
      <c r="AK96" s="4"/>
      <c r="AL96" s="4"/>
      <c r="AM96" s="4"/>
      <c r="AN96" s="4"/>
      <c r="AO96" s="4"/>
      <c r="AP96"/>
      <c r="AQ96"/>
      <c r="AR96"/>
      <c r="AS96"/>
      <c r="AT96"/>
      <c r="AU96"/>
      <c r="AV96"/>
      <c r="AW96"/>
      <c r="AX96"/>
      <c r="AY96"/>
      <c r="AZ96"/>
      <c r="BA96"/>
      <c r="BB96"/>
      <c r="BC96"/>
      <c r="BD96"/>
      <c r="BE96" s="4"/>
      <c r="BF96" s="4"/>
      <c r="BG96" s="4"/>
      <c r="BH96" s="4"/>
    </row>
    <row r="97" spans="1:60" ht="14.5" x14ac:dyDescent="0.35">
      <c r="A97" s="6"/>
      <c r="B97" s="6"/>
    </row>
    <row r="98" spans="1:60" s="1" customFormat="1" ht="14.15" customHeight="1" x14ac:dyDescent="0.35">
      <c r="A98" s="5"/>
      <c r="B98" s="5"/>
      <c r="C98" s="6"/>
      <c r="D98" s="6"/>
      <c r="E98" s="6"/>
      <c r="F98" s="6"/>
      <c r="G98" s="6"/>
      <c r="H98" s="7"/>
      <c r="I98" s="7"/>
      <c r="J98" s="7"/>
      <c r="K98" s="7"/>
      <c r="L98" s="7"/>
      <c r="M98" s="7"/>
      <c r="N98" s="7"/>
      <c r="O98" s="7"/>
      <c r="P98" s="7"/>
      <c r="W98" s="6"/>
      <c r="X98" s="6"/>
      <c r="Y98" s="7"/>
      <c r="Z98" s="7"/>
      <c r="AA98" s="7"/>
      <c r="AB98" s="6"/>
      <c r="AC98" s="5"/>
      <c r="AD98" s="4"/>
      <c r="AE98" s="4"/>
      <c r="AF98" s="5"/>
      <c r="AG98" s="4"/>
      <c r="AH98" s="4"/>
      <c r="AI98" s="4"/>
      <c r="AJ98" s="4"/>
      <c r="AK98" s="4"/>
      <c r="AL98" s="4"/>
      <c r="AM98" s="4"/>
      <c r="AN98" s="4"/>
      <c r="AO98" s="4"/>
      <c r="AP98"/>
      <c r="AQ98"/>
      <c r="AR98"/>
      <c r="AS98"/>
      <c r="AT98"/>
      <c r="AU98"/>
      <c r="AV98"/>
      <c r="AW98"/>
      <c r="AX98"/>
      <c r="AY98"/>
      <c r="AZ98"/>
      <c r="BA98"/>
      <c r="BB98"/>
      <c r="BC98"/>
      <c r="BD98"/>
      <c r="BE98" s="4"/>
      <c r="BF98" s="4"/>
      <c r="BG98" s="4"/>
      <c r="BH98" s="4"/>
    </row>
    <row r="99" spans="1:60" s="1" customFormat="1" ht="15" customHeight="1" x14ac:dyDescent="0.35">
      <c r="A99" s="59" t="s">
        <v>546</v>
      </c>
      <c r="B99" s="59"/>
      <c r="C99" s="6"/>
      <c r="D99" s="6"/>
      <c r="E99" s="6"/>
      <c r="F99" s="6"/>
      <c r="G99" s="6"/>
      <c r="H99" s="7"/>
      <c r="I99" s="7"/>
      <c r="J99" s="7"/>
      <c r="K99" s="7"/>
      <c r="L99" s="7"/>
      <c r="M99" s="7"/>
      <c r="N99" s="7"/>
      <c r="O99" s="7"/>
      <c r="P99" s="7"/>
      <c r="W99" s="6"/>
      <c r="X99" s="6"/>
      <c r="Y99" s="7"/>
      <c r="Z99" s="7"/>
      <c r="AA99" s="7"/>
      <c r="AB99" s="6"/>
      <c r="AC99" s="5"/>
      <c r="AD99" s="4"/>
      <c r="AE99" s="4"/>
      <c r="AF99" s="5"/>
      <c r="AG99" s="4"/>
      <c r="AH99" s="4"/>
      <c r="AI99" s="4"/>
      <c r="AJ99" s="4"/>
      <c r="AK99" s="4"/>
      <c r="AL99" s="4"/>
      <c r="AM99" s="4"/>
      <c r="AN99" s="4"/>
      <c r="AO99" s="4"/>
      <c r="AP99"/>
      <c r="AQ99"/>
      <c r="AR99"/>
      <c r="AS99"/>
      <c r="AT99"/>
      <c r="AU99"/>
      <c r="AV99"/>
      <c r="AW99"/>
      <c r="AX99"/>
      <c r="AY99"/>
      <c r="AZ99"/>
      <c r="BA99"/>
      <c r="BB99"/>
      <c r="BC99"/>
      <c r="BD99"/>
      <c r="BE99" s="4"/>
      <c r="BF99" s="4"/>
      <c r="BG99" s="4"/>
      <c r="BH99" s="4"/>
    </row>
    <row r="100" spans="1:60" s="1" customFormat="1" ht="22.5" customHeight="1" x14ac:dyDescent="0.35">
      <c r="A100" s="1" t="s">
        <v>1</v>
      </c>
      <c r="B100" s="59"/>
      <c r="C100" s="6"/>
      <c r="D100" s="6"/>
      <c r="E100" s="6"/>
      <c r="F100" s="6"/>
      <c r="G100" s="6"/>
      <c r="H100" s="7"/>
      <c r="I100" s="7"/>
      <c r="J100" s="7"/>
      <c r="K100" s="7"/>
      <c r="L100" s="7"/>
      <c r="M100" s="7"/>
      <c r="N100" s="7"/>
      <c r="O100" s="7"/>
      <c r="P100" s="7"/>
      <c r="W100" s="6"/>
      <c r="X100" s="6"/>
      <c r="Y100" s="7"/>
      <c r="Z100" s="7"/>
      <c r="AA100" s="7"/>
      <c r="AB100" s="6"/>
      <c r="AC100" s="5"/>
      <c r="AD100" s="4"/>
      <c r="AE100" s="4"/>
      <c r="AF100" s="5"/>
      <c r="AG100" s="4"/>
      <c r="AH100" s="4"/>
      <c r="AI100" s="4"/>
      <c r="AJ100" s="4"/>
      <c r="AK100" s="4"/>
      <c r="AL100" s="4"/>
      <c r="AM100" s="4"/>
      <c r="AN100" s="4"/>
      <c r="AO100" s="4"/>
      <c r="AP100"/>
      <c r="AQ100"/>
      <c r="AR100"/>
      <c r="AS100"/>
      <c r="AT100"/>
      <c r="AU100"/>
      <c r="AV100"/>
      <c r="AW100"/>
      <c r="AX100"/>
      <c r="AY100"/>
      <c r="AZ100"/>
      <c r="BA100"/>
      <c r="BB100"/>
      <c r="BC100"/>
      <c r="BD100"/>
      <c r="BE100" s="4"/>
      <c r="BF100" s="4"/>
      <c r="BG100" s="4"/>
      <c r="BH100" s="4"/>
    </row>
    <row r="101" spans="1:60" ht="6" hidden="1" customHeight="1" x14ac:dyDescent="0.35">
      <c r="A101" s="59"/>
    </row>
    <row r="102" spans="1:60" ht="6" hidden="1" customHeight="1" x14ac:dyDescent="0.35"/>
    <row r="103" spans="1:60" ht="6" hidden="1" customHeight="1" x14ac:dyDescent="0.35"/>
    <row r="104" spans="1:60" ht="6" hidden="1" customHeight="1" x14ac:dyDescent="0.35"/>
    <row r="105" spans="1:60" ht="6" hidden="1" customHeight="1" x14ac:dyDescent="0.35"/>
    <row r="106" spans="1:60" ht="6" hidden="1" customHeight="1" x14ac:dyDescent="0.35"/>
    <row r="107" spans="1:60" ht="6" hidden="1" customHeight="1" x14ac:dyDescent="0.35"/>
    <row r="108" spans="1:60" ht="6" hidden="1" customHeight="1" x14ac:dyDescent="0.35"/>
    <row r="109" spans="1:60" ht="6" hidden="1" customHeight="1" x14ac:dyDescent="0.35"/>
    <row r="110" spans="1:60" ht="6" hidden="1" customHeight="1" x14ac:dyDescent="0.35"/>
    <row r="111" spans="1:60" ht="6" hidden="1" customHeight="1" x14ac:dyDescent="0.35"/>
    <row r="112" spans="1:60" ht="6" hidden="1" customHeight="1" x14ac:dyDescent="0.35"/>
    <row r="113" ht="6" hidden="1" customHeight="1" x14ac:dyDescent="0.35"/>
    <row r="114" ht="6" hidden="1" customHeight="1" x14ac:dyDescent="0.35"/>
    <row r="115" ht="6" hidden="1" customHeight="1" x14ac:dyDescent="0.35"/>
    <row r="116" ht="6" hidden="1" customHeight="1" x14ac:dyDescent="0.35"/>
    <row r="117" ht="6" hidden="1" customHeight="1" x14ac:dyDescent="0.35"/>
    <row r="118" ht="6" hidden="1" customHeight="1" x14ac:dyDescent="0.35"/>
    <row r="119" ht="6" hidden="1" customHeight="1" x14ac:dyDescent="0.35"/>
    <row r="120" ht="6" hidden="1" customHeight="1" x14ac:dyDescent="0.35"/>
    <row r="121" ht="6" hidden="1" customHeight="1" x14ac:dyDescent="0.35"/>
    <row r="122" ht="6" hidden="1" customHeight="1" x14ac:dyDescent="0.35"/>
    <row r="123" ht="6" hidden="1" customHeight="1" x14ac:dyDescent="0.35"/>
    <row r="124" ht="6" hidden="1" customHeight="1" x14ac:dyDescent="0.35"/>
    <row r="125" ht="6" hidden="1" customHeight="1" x14ac:dyDescent="0.35"/>
    <row r="126" ht="6" hidden="1" customHeight="1" x14ac:dyDescent="0.35"/>
    <row r="127" ht="6" hidden="1" customHeight="1" x14ac:dyDescent="0.35"/>
    <row r="128" ht="6" hidden="1" customHeight="1" x14ac:dyDescent="0.35"/>
    <row r="129" ht="6" hidden="1" customHeight="1" x14ac:dyDescent="0.35"/>
    <row r="130" ht="6" hidden="1" customHeight="1" x14ac:dyDescent="0.35"/>
    <row r="131" ht="6" hidden="1" customHeight="1" x14ac:dyDescent="0.35"/>
    <row r="132" ht="6" hidden="1" customHeight="1" x14ac:dyDescent="0.35"/>
    <row r="133" ht="6" hidden="1" customHeight="1" x14ac:dyDescent="0.35"/>
    <row r="134" ht="6" hidden="1" customHeight="1" x14ac:dyDescent="0.35"/>
    <row r="135" ht="6" hidden="1" customHeight="1" x14ac:dyDescent="0.35"/>
    <row r="136" ht="6" hidden="1" customHeight="1" x14ac:dyDescent="0.35"/>
    <row r="137" ht="6" hidden="1" customHeight="1" x14ac:dyDescent="0.35"/>
    <row r="138" ht="6" hidden="1" customHeight="1" x14ac:dyDescent="0.35"/>
    <row r="139" ht="6" hidden="1" customHeight="1" x14ac:dyDescent="0.35"/>
    <row r="140" ht="6" hidden="1" customHeight="1" x14ac:dyDescent="0.35"/>
    <row r="141" ht="6" hidden="1" customHeight="1" x14ac:dyDescent="0.35"/>
    <row r="142" ht="6" hidden="1" customHeight="1" x14ac:dyDescent="0.35"/>
    <row r="143" ht="6" hidden="1" customHeight="1" x14ac:dyDescent="0.35"/>
    <row r="144" ht="6" hidden="1" customHeight="1" x14ac:dyDescent="0.35"/>
    <row r="145" ht="6" hidden="1" customHeight="1" x14ac:dyDescent="0.35"/>
    <row r="146" ht="6" hidden="1" customHeight="1" x14ac:dyDescent="0.35"/>
    <row r="147" ht="6" hidden="1" customHeight="1" x14ac:dyDescent="0.35"/>
    <row r="148" ht="6" hidden="1" customHeight="1" x14ac:dyDescent="0.35"/>
    <row r="149" ht="6" hidden="1" customHeight="1" x14ac:dyDescent="0.35"/>
    <row r="150" ht="6" hidden="1" customHeight="1" x14ac:dyDescent="0.35"/>
    <row r="151" ht="6" hidden="1" customHeight="1" x14ac:dyDescent="0.35"/>
    <row r="152" ht="6" hidden="1" customHeight="1" x14ac:dyDescent="0.35"/>
    <row r="153" ht="6" hidden="1" customHeight="1" x14ac:dyDescent="0.35"/>
    <row r="154" ht="6" hidden="1" customHeight="1" x14ac:dyDescent="0.35"/>
    <row r="155" ht="6" hidden="1" customHeight="1" x14ac:dyDescent="0.35"/>
    <row r="156" ht="6" hidden="1" customHeight="1" x14ac:dyDescent="0.35"/>
    <row r="157" ht="6" hidden="1" customHeight="1" x14ac:dyDescent="0.35"/>
    <row r="158" ht="6" hidden="1" customHeight="1" x14ac:dyDescent="0.35"/>
    <row r="159" ht="6" hidden="1" customHeight="1" x14ac:dyDescent="0.35"/>
    <row r="160" ht="6" hidden="1" customHeight="1" x14ac:dyDescent="0.35"/>
    <row r="161" ht="6" hidden="1" customHeight="1" x14ac:dyDescent="0.35"/>
    <row r="162" ht="6" hidden="1" customHeight="1" x14ac:dyDescent="0.35"/>
    <row r="163" ht="6" hidden="1" customHeight="1" x14ac:dyDescent="0.35"/>
    <row r="164" ht="6" hidden="1" customHeight="1" x14ac:dyDescent="0.35"/>
    <row r="165" ht="6" hidden="1" customHeight="1" x14ac:dyDescent="0.35"/>
    <row r="166" ht="6" hidden="1" customHeight="1" x14ac:dyDescent="0.35"/>
    <row r="167" ht="6" hidden="1" customHeight="1" x14ac:dyDescent="0.35"/>
    <row r="168" ht="6" hidden="1" customHeight="1" x14ac:dyDescent="0.35"/>
    <row r="169" ht="6" hidden="1" customHeight="1" x14ac:dyDescent="0.35"/>
    <row r="170" ht="6" hidden="1" customHeight="1" x14ac:dyDescent="0.35"/>
    <row r="171" ht="6" hidden="1" customHeight="1" x14ac:dyDescent="0.35"/>
    <row r="172" ht="6" hidden="1" customHeight="1" x14ac:dyDescent="0.35"/>
    <row r="173" ht="6" hidden="1" customHeight="1" x14ac:dyDescent="0.35"/>
    <row r="174" ht="6" hidden="1" customHeight="1" x14ac:dyDescent="0.35"/>
    <row r="175" ht="6" hidden="1" customHeight="1" x14ac:dyDescent="0.35"/>
    <row r="176" ht="6" hidden="1" customHeight="1" x14ac:dyDescent="0.35"/>
    <row r="177" ht="6" hidden="1" customHeight="1" x14ac:dyDescent="0.35"/>
    <row r="178" ht="6" hidden="1" customHeight="1" x14ac:dyDescent="0.35"/>
    <row r="179" ht="6" hidden="1" customHeight="1" x14ac:dyDescent="0.35"/>
    <row r="180" ht="6" hidden="1" customHeight="1" x14ac:dyDescent="0.35"/>
    <row r="181" ht="6" hidden="1" customHeight="1" x14ac:dyDescent="0.35"/>
    <row r="182" ht="6" hidden="1" customHeight="1" x14ac:dyDescent="0.35"/>
    <row r="183" ht="6" hidden="1" customHeight="1" x14ac:dyDescent="0.35"/>
    <row r="184" ht="6" hidden="1" customHeight="1" x14ac:dyDescent="0.35"/>
    <row r="185" ht="6" hidden="1" customHeight="1" x14ac:dyDescent="0.35"/>
    <row r="186" ht="6" hidden="1" customHeight="1" x14ac:dyDescent="0.35"/>
    <row r="187" ht="6" hidden="1" customHeight="1" x14ac:dyDescent="0.35"/>
    <row r="188" ht="6" hidden="1" customHeight="1" x14ac:dyDescent="0.35"/>
    <row r="189" ht="6" hidden="1" customHeight="1" x14ac:dyDescent="0.35"/>
    <row r="190" ht="6" hidden="1" customHeight="1" x14ac:dyDescent="0.35"/>
    <row r="191" ht="6" hidden="1" customHeight="1" x14ac:dyDescent="0.35"/>
    <row r="192" ht="6" hidden="1" customHeight="1" x14ac:dyDescent="0.35"/>
    <row r="193" ht="6" hidden="1" customHeight="1" x14ac:dyDescent="0.35"/>
    <row r="194" ht="6" hidden="1" customHeight="1" x14ac:dyDescent="0.35"/>
    <row r="195" ht="6" hidden="1" customHeight="1" x14ac:dyDescent="0.35"/>
    <row r="196" ht="6" hidden="1" customHeight="1" x14ac:dyDescent="0.35"/>
    <row r="197" ht="6" hidden="1" customHeight="1" x14ac:dyDescent="0.35"/>
    <row r="198" ht="6" hidden="1" customHeight="1" x14ac:dyDescent="0.35"/>
    <row r="199" ht="6" hidden="1" customHeight="1" x14ac:dyDescent="0.35"/>
    <row r="200" ht="6" hidden="1" customHeight="1" x14ac:dyDescent="0.35"/>
    <row r="201" ht="6" hidden="1" customHeight="1" x14ac:dyDescent="0.35"/>
    <row r="202" ht="6" hidden="1" customHeight="1" x14ac:dyDescent="0.35"/>
    <row r="203" ht="6" hidden="1" customHeight="1" x14ac:dyDescent="0.35"/>
    <row r="204" ht="6" hidden="1" customHeight="1" x14ac:dyDescent="0.35"/>
    <row r="205" ht="6" hidden="1" customHeight="1" x14ac:dyDescent="0.35"/>
    <row r="206" ht="6" hidden="1" customHeight="1" x14ac:dyDescent="0.35"/>
    <row r="207" ht="6" hidden="1" customHeight="1" x14ac:dyDescent="0.35"/>
    <row r="208" ht="6" hidden="1" customHeight="1" x14ac:dyDescent="0.35"/>
    <row r="209" ht="6" hidden="1" customHeight="1" x14ac:dyDescent="0.35"/>
    <row r="210" ht="6" hidden="1" customHeight="1" x14ac:dyDescent="0.35"/>
    <row r="211" ht="6" hidden="1" customHeight="1" x14ac:dyDescent="0.35"/>
    <row r="212" ht="6" hidden="1" customHeight="1" x14ac:dyDescent="0.35"/>
    <row r="213" ht="6" hidden="1" customHeight="1" x14ac:dyDescent="0.35"/>
    <row r="214" ht="6" hidden="1" customHeight="1" x14ac:dyDescent="0.35"/>
    <row r="215" ht="6" hidden="1" customHeight="1" x14ac:dyDescent="0.35"/>
    <row r="216" ht="6" hidden="1" customHeight="1" x14ac:dyDescent="0.35"/>
    <row r="217" ht="6" hidden="1" customHeight="1" x14ac:dyDescent="0.35"/>
    <row r="218" ht="6" hidden="1" customHeight="1" x14ac:dyDescent="0.35"/>
    <row r="219" ht="6" hidden="1" customHeight="1" x14ac:dyDescent="0.35"/>
    <row r="220" ht="6" hidden="1" customHeight="1" x14ac:dyDescent="0.35"/>
    <row r="221" ht="6" hidden="1" customHeight="1" x14ac:dyDescent="0.35"/>
    <row r="222" ht="6" hidden="1" customHeight="1" x14ac:dyDescent="0.35"/>
    <row r="223" ht="6" hidden="1" customHeight="1" x14ac:dyDescent="0.35"/>
    <row r="224" ht="6" hidden="1" customHeight="1" x14ac:dyDescent="0.35"/>
    <row r="225" ht="6" hidden="1" customHeight="1" x14ac:dyDescent="0.35"/>
    <row r="226" ht="6" hidden="1" customHeight="1" x14ac:dyDescent="0.35"/>
    <row r="227" ht="6" hidden="1" customHeight="1" x14ac:dyDescent="0.35"/>
    <row r="228" ht="6" hidden="1" customHeight="1" x14ac:dyDescent="0.35"/>
    <row r="229" ht="6" hidden="1" customHeight="1" x14ac:dyDescent="0.35"/>
    <row r="230" ht="6" hidden="1" customHeight="1" x14ac:dyDescent="0.35"/>
    <row r="231" ht="6" hidden="1" customHeight="1" x14ac:dyDescent="0.35"/>
    <row r="232" ht="6" hidden="1" customHeight="1" x14ac:dyDescent="0.35"/>
    <row r="233" ht="6" hidden="1" customHeight="1" x14ac:dyDescent="0.35"/>
    <row r="234" ht="6" hidden="1" customHeight="1" x14ac:dyDescent="0.35"/>
    <row r="235" ht="6" hidden="1" customHeight="1" x14ac:dyDescent="0.35"/>
    <row r="236" ht="6" hidden="1" customHeight="1" x14ac:dyDescent="0.35"/>
    <row r="237" ht="6" hidden="1" customHeight="1" x14ac:dyDescent="0.35"/>
    <row r="238" ht="6" hidden="1" customHeight="1" x14ac:dyDescent="0.35"/>
    <row r="239" ht="6" hidden="1" customHeight="1" x14ac:dyDescent="0.35"/>
    <row r="240" ht="6" hidden="1" customHeight="1" x14ac:dyDescent="0.35"/>
    <row r="241" ht="6" hidden="1" customHeight="1" x14ac:dyDescent="0.35"/>
    <row r="242" ht="6" hidden="1" customHeight="1" x14ac:dyDescent="0.35"/>
    <row r="243" ht="6" hidden="1" customHeight="1" x14ac:dyDescent="0.35"/>
    <row r="244" ht="6" hidden="1" customHeight="1" x14ac:dyDescent="0.35"/>
    <row r="245" ht="6" hidden="1" customHeight="1" x14ac:dyDescent="0.35"/>
    <row r="246" ht="6" hidden="1" customHeight="1" x14ac:dyDescent="0.35"/>
    <row r="247" ht="6" hidden="1" customHeight="1" x14ac:dyDescent="0.35"/>
    <row r="248" ht="6" hidden="1" customHeight="1" x14ac:dyDescent="0.35"/>
    <row r="249" ht="6" hidden="1" customHeight="1" x14ac:dyDescent="0.35"/>
    <row r="250" ht="6" hidden="1" customHeight="1" x14ac:dyDescent="0.35"/>
    <row r="251" ht="6" hidden="1" customHeight="1" x14ac:dyDescent="0.35"/>
    <row r="252" ht="6" hidden="1" customHeight="1" x14ac:dyDescent="0.35"/>
    <row r="253" ht="6" hidden="1" customHeight="1" x14ac:dyDescent="0.35"/>
    <row r="254" ht="6" hidden="1" customHeight="1" x14ac:dyDescent="0.35"/>
    <row r="255" ht="6" hidden="1" customHeight="1" x14ac:dyDescent="0.35"/>
    <row r="256" ht="6" hidden="1" customHeight="1" x14ac:dyDescent="0.35"/>
    <row r="257" ht="6" hidden="1" customHeight="1" x14ac:dyDescent="0.35"/>
    <row r="258" ht="6" hidden="1" customHeight="1" x14ac:dyDescent="0.35"/>
    <row r="259" ht="6" hidden="1" customHeight="1" x14ac:dyDescent="0.35"/>
    <row r="260" ht="6" hidden="1" customHeight="1" x14ac:dyDescent="0.35"/>
    <row r="261" ht="6" hidden="1" customHeight="1" x14ac:dyDescent="0.35"/>
    <row r="262" ht="6" hidden="1" customHeight="1" x14ac:dyDescent="0.35"/>
    <row r="263" ht="6" hidden="1" customHeight="1" x14ac:dyDescent="0.35"/>
    <row r="264" ht="6" hidden="1" customHeight="1" x14ac:dyDescent="0.35"/>
    <row r="265" ht="6" hidden="1" customHeight="1" x14ac:dyDescent="0.35"/>
    <row r="266" ht="6" hidden="1" customHeight="1" x14ac:dyDescent="0.35"/>
    <row r="267" ht="6" hidden="1" customHeight="1" x14ac:dyDescent="0.35"/>
    <row r="268" ht="6" hidden="1" customHeight="1" x14ac:dyDescent="0.35"/>
    <row r="269" ht="6" hidden="1" customHeight="1" x14ac:dyDescent="0.35"/>
    <row r="270" ht="6" hidden="1" customHeight="1" x14ac:dyDescent="0.35"/>
    <row r="271" ht="6" hidden="1" customHeight="1" x14ac:dyDescent="0.35"/>
    <row r="272" ht="6" hidden="1" customHeight="1" x14ac:dyDescent="0.35"/>
    <row r="273" ht="6" hidden="1" customHeight="1" x14ac:dyDescent="0.35"/>
    <row r="274" ht="6" hidden="1" customHeight="1" x14ac:dyDescent="0.35"/>
    <row r="275" ht="6" hidden="1" customHeight="1" x14ac:dyDescent="0.35"/>
    <row r="276" ht="6" hidden="1" customHeight="1" x14ac:dyDescent="0.35"/>
    <row r="277" ht="6" hidden="1" customHeight="1" x14ac:dyDescent="0.35"/>
    <row r="278" ht="6" hidden="1" customHeight="1" x14ac:dyDescent="0.35"/>
    <row r="279" ht="6" hidden="1" customHeight="1" x14ac:dyDescent="0.35"/>
    <row r="280" ht="6" hidden="1" customHeight="1" x14ac:dyDescent="0.35"/>
    <row r="281" ht="6" hidden="1" customHeight="1" x14ac:dyDescent="0.35"/>
    <row r="282" ht="6" hidden="1" customHeight="1" x14ac:dyDescent="0.35"/>
    <row r="283" ht="6" hidden="1" customHeight="1" x14ac:dyDescent="0.35"/>
    <row r="284" ht="6" hidden="1" customHeight="1" x14ac:dyDescent="0.35"/>
    <row r="285" ht="6" hidden="1" customHeight="1" x14ac:dyDescent="0.35"/>
    <row r="286" ht="6" hidden="1" customHeight="1" x14ac:dyDescent="0.35"/>
    <row r="287" ht="6" hidden="1" customHeight="1" x14ac:dyDescent="0.35"/>
    <row r="288" ht="6" hidden="1" customHeight="1" x14ac:dyDescent="0.35"/>
    <row r="289" ht="6" hidden="1" customHeight="1" x14ac:dyDescent="0.35"/>
    <row r="290" ht="6" hidden="1" customHeight="1" x14ac:dyDescent="0.35"/>
    <row r="291" ht="6" hidden="1" customHeight="1" x14ac:dyDescent="0.35"/>
    <row r="292" ht="6" hidden="1" customHeight="1" x14ac:dyDescent="0.35"/>
    <row r="293" ht="6" hidden="1" customHeight="1" x14ac:dyDescent="0.35"/>
    <row r="294" ht="6" hidden="1" customHeight="1" x14ac:dyDescent="0.35"/>
    <row r="295" ht="6" hidden="1" customHeight="1" x14ac:dyDescent="0.35"/>
    <row r="296" ht="6" hidden="1" customHeight="1" x14ac:dyDescent="0.35"/>
    <row r="297" ht="6" hidden="1" customHeight="1" x14ac:dyDescent="0.35"/>
    <row r="298" ht="6" hidden="1" customHeight="1" x14ac:dyDescent="0.35"/>
    <row r="299" ht="6" hidden="1" customHeight="1" x14ac:dyDescent="0.35"/>
    <row r="300" ht="6" hidden="1" customHeight="1" x14ac:dyDescent="0.35"/>
    <row r="301" ht="6" hidden="1" customHeight="1" x14ac:dyDescent="0.35"/>
    <row r="302" ht="6" hidden="1" customHeight="1" x14ac:dyDescent="0.35"/>
    <row r="303" ht="6" hidden="1" customHeight="1" x14ac:dyDescent="0.35"/>
    <row r="304" ht="6" hidden="1" customHeight="1" x14ac:dyDescent="0.35"/>
    <row r="305" ht="6" hidden="1" customHeight="1" x14ac:dyDescent="0.35"/>
    <row r="306" ht="6" hidden="1" customHeight="1" x14ac:dyDescent="0.35"/>
    <row r="307" ht="6" hidden="1" customHeight="1" x14ac:dyDescent="0.35"/>
    <row r="308" ht="6" hidden="1" customHeight="1" x14ac:dyDescent="0.35"/>
    <row r="309" ht="6" hidden="1" customHeight="1" x14ac:dyDescent="0.35"/>
    <row r="310" ht="6" hidden="1" customHeight="1" x14ac:dyDescent="0.35"/>
    <row r="311" ht="6" hidden="1" customHeight="1" x14ac:dyDescent="0.35"/>
    <row r="312" ht="6" hidden="1" customHeight="1" x14ac:dyDescent="0.35"/>
    <row r="313" ht="6" hidden="1" customHeight="1" x14ac:dyDescent="0.35"/>
    <row r="314" ht="6" hidden="1" customHeight="1" x14ac:dyDescent="0.35"/>
    <row r="315" ht="6" hidden="1" customHeight="1" x14ac:dyDescent="0.35"/>
    <row r="316" ht="6" hidden="1" customHeight="1" x14ac:dyDescent="0.35"/>
    <row r="317" ht="6" hidden="1" customHeight="1" x14ac:dyDescent="0.35"/>
    <row r="318" ht="6" hidden="1" customHeight="1" x14ac:dyDescent="0.35"/>
    <row r="319" ht="6" hidden="1" customHeight="1" x14ac:dyDescent="0.35"/>
    <row r="320" ht="6" hidden="1" customHeight="1" x14ac:dyDescent="0.35"/>
    <row r="321" ht="6" hidden="1" customHeight="1" x14ac:dyDescent="0.35"/>
    <row r="322" ht="6" hidden="1" customHeight="1" x14ac:dyDescent="0.35"/>
    <row r="323" ht="6" hidden="1" customHeight="1" x14ac:dyDescent="0.35"/>
    <row r="324" ht="6" hidden="1" customHeight="1" x14ac:dyDescent="0.35"/>
    <row r="325" ht="6" hidden="1" customHeight="1" x14ac:dyDescent="0.35"/>
    <row r="326" ht="6" hidden="1" customHeight="1" x14ac:dyDescent="0.35"/>
    <row r="327" ht="6" hidden="1" customHeight="1" x14ac:dyDescent="0.35"/>
    <row r="328" ht="6" hidden="1" customHeight="1" x14ac:dyDescent="0.35"/>
    <row r="329" ht="6" hidden="1" customHeight="1" x14ac:dyDescent="0.35"/>
    <row r="330" ht="6" hidden="1" customHeight="1" x14ac:dyDescent="0.35"/>
    <row r="331" ht="6" hidden="1" customHeight="1" x14ac:dyDescent="0.35"/>
    <row r="332" ht="6" hidden="1" customHeight="1" x14ac:dyDescent="0.35"/>
    <row r="333" ht="6" hidden="1" customHeight="1" x14ac:dyDescent="0.35"/>
    <row r="334" ht="6" hidden="1" customHeight="1" x14ac:dyDescent="0.35"/>
    <row r="335" ht="6" hidden="1" customHeight="1" x14ac:dyDescent="0.35"/>
    <row r="336" ht="6" hidden="1" customHeight="1" x14ac:dyDescent="0.35"/>
    <row r="337" ht="6" hidden="1" customHeight="1" x14ac:dyDescent="0.35"/>
    <row r="338" ht="6" hidden="1" customHeight="1" x14ac:dyDescent="0.35"/>
    <row r="339" ht="6" hidden="1" customHeight="1" x14ac:dyDescent="0.35"/>
    <row r="340" ht="6" hidden="1" customHeight="1" x14ac:dyDescent="0.35"/>
    <row r="341" ht="6" hidden="1" customHeight="1" x14ac:dyDescent="0.35"/>
    <row r="342" ht="6" hidden="1" customHeight="1" x14ac:dyDescent="0.35"/>
    <row r="343" ht="6" hidden="1" customHeight="1" x14ac:dyDescent="0.35"/>
    <row r="344" ht="6" hidden="1" customHeight="1" x14ac:dyDescent="0.35"/>
    <row r="345" ht="6" hidden="1" customHeight="1" x14ac:dyDescent="0.35"/>
    <row r="346" ht="6" hidden="1" customHeight="1" x14ac:dyDescent="0.35"/>
    <row r="347" ht="6" hidden="1" customHeight="1" x14ac:dyDescent="0.35"/>
    <row r="348" ht="6" hidden="1" customHeight="1" x14ac:dyDescent="0.35"/>
    <row r="349" ht="6" hidden="1" customHeight="1" x14ac:dyDescent="0.35"/>
    <row r="350" ht="6" hidden="1" customHeight="1" x14ac:dyDescent="0.35"/>
    <row r="351" ht="6" hidden="1" customHeight="1" x14ac:dyDescent="0.35"/>
    <row r="352" ht="6" hidden="1" customHeight="1" x14ac:dyDescent="0.35"/>
    <row r="353" ht="6" hidden="1" customHeight="1" x14ac:dyDescent="0.35"/>
    <row r="354" ht="6" hidden="1" customHeight="1" x14ac:dyDescent="0.35"/>
    <row r="355" ht="6" hidden="1" customHeight="1" x14ac:dyDescent="0.35"/>
    <row r="356" ht="6" hidden="1" customHeight="1" x14ac:dyDescent="0.35"/>
    <row r="357" ht="6" hidden="1" customHeight="1" x14ac:dyDescent="0.35"/>
    <row r="358" ht="6" hidden="1" customHeight="1" x14ac:dyDescent="0.35"/>
    <row r="359" ht="6" hidden="1" customHeight="1" x14ac:dyDescent="0.35"/>
    <row r="360" ht="6" hidden="1" customHeight="1" x14ac:dyDescent="0.35"/>
    <row r="361" ht="6" hidden="1" customHeight="1" x14ac:dyDescent="0.35"/>
    <row r="362" ht="6" hidden="1" customHeight="1" x14ac:dyDescent="0.35"/>
    <row r="363" ht="6" hidden="1" customHeight="1" x14ac:dyDescent="0.35"/>
    <row r="364" ht="6" hidden="1" customHeight="1" x14ac:dyDescent="0.35"/>
    <row r="365" ht="6" hidden="1" customHeight="1" x14ac:dyDescent="0.35"/>
    <row r="366" ht="6" hidden="1" customHeight="1" x14ac:dyDescent="0.35"/>
    <row r="367" ht="6" hidden="1" customHeight="1" x14ac:dyDescent="0.35"/>
    <row r="368" ht="6" hidden="1" customHeight="1" x14ac:dyDescent="0.35"/>
    <row r="369" ht="6" hidden="1" customHeight="1" x14ac:dyDescent="0.35"/>
    <row r="370" ht="6" hidden="1" customHeight="1" x14ac:dyDescent="0.35"/>
    <row r="371" ht="6" hidden="1" customHeight="1" x14ac:dyDescent="0.35"/>
    <row r="372" ht="6" hidden="1" customHeight="1" x14ac:dyDescent="0.35"/>
    <row r="373" ht="6" hidden="1" customHeight="1" x14ac:dyDescent="0.35"/>
    <row r="374" ht="6" hidden="1" customHeight="1" x14ac:dyDescent="0.35"/>
    <row r="375" ht="6" hidden="1" customHeight="1" x14ac:dyDescent="0.35"/>
    <row r="376" ht="6" hidden="1" customHeight="1" x14ac:dyDescent="0.35"/>
    <row r="377" ht="6" hidden="1" customHeight="1" x14ac:dyDescent="0.35"/>
    <row r="378" ht="6" hidden="1" customHeight="1" x14ac:dyDescent="0.35"/>
    <row r="379" ht="6" hidden="1" customHeight="1" x14ac:dyDescent="0.35"/>
    <row r="380" ht="6" hidden="1" customHeight="1" x14ac:dyDescent="0.35"/>
    <row r="381" ht="6" hidden="1" customHeight="1" x14ac:dyDescent="0.35"/>
    <row r="382" ht="6" hidden="1" customHeight="1" x14ac:dyDescent="0.35"/>
    <row r="383" ht="6" hidden="1" customHeight="1" x14ac:dyDescent="0.35"/>
    <row r="384" ht="6" hidden="1" customHeight="1" x14ac:dyDescent="0.35"/>
    <row r="385" ht="6" hidden="1" customHeight="1" x14ac:dyDescent="0.35"/>
    <row r="386" ht="6" hidden="1" customHeight="1" x14ac:dyDescent="0.35"/>
    <row r="387" ht="6" hidden="1" customHeight="1" x14ac:dyDescent="0.35"/>
    <row r="388" ht="6" hidden="1" customHeight="1" x14ac:dyDescent="0.35"/>
    <row r="389" ht="6" hidden="1" customHeight="1" x14ac:dyDescent="0.35"/>
    <row r="390" ht="6" hidden="1" customHeight="1" x14ac:dyDescent="0.35"/>
    <row r="391" ht="6" hidden="1" customHeight="1" x14ac:dyDescent="0.35"/>
    <row r="392" ht="6" hidden="1" customHeight="1" x14ac:dyDescent="0.35"/>
    <row r="393" ht="6" hidden="1" customHeight="1" x14ac:dyDescent="0.35"/>
    <row r="394" ht="6" hidden="1" customHeight="1" x14ac:dyDescent="0.35"/>
    <row r="395" ht="6" hidden="1" customHeight="1" x14ac:dyDescent="0.35"/>
    <row r="396" ht="6" hidden="1" customHeight="1" x14ac:dyDescent="0.35"/>
    <row r="397" ht="6" hidden="1" customHeight="1" x14ac:dyDescent="0.35"/>
    <row r="398" ht="6" hidden="1" customHeight="1" x14ac:dyDescent="0.35"/>
    <row r="399" ht="6" hidden="1" customHeight="1" x14ac:dyDescent="0.35"/>
    <row r="400" ht="6" hidden="1" customHeight="1" x14ac:dyDescent="0.35"/>
    <row r="401" ht="6" hidden="1" customHeight="1" x14ac:dyDescent="0.35"/>
    <row r="402" ht="6" hidden="1" customHeight="1" x14ac:dyDescent="0.35"/>
    <row r="403" ht="6" hidden="1" customHeight="1" x14ac:dyDescent="0.35"/>
    <row r="404" ht="6" hidden="1" customHeight="1" x14ac:dyDescent="0.35"/>
    <row r="405" ht="6" hidden="1" customHeight="1" x14ac:dyDescent="0.35"/>
    <row r="406" ht="6" hidden="1" customHeight="1" x14ac:dyDescent="0.35"/>
    <row r="407" ht="6" hidden="1" customHeight="1" x14ac:dyDescent="0.35"/>
    <row r="408" ht="6" hidden="1" customHeight="1" x14ac:dyDescent="0.35"/>
    <row r="409" ht="6" hidden="1" customHeight="1" x14ac:dyDescent="0.35"/>
    <row r="410" ht="6" hidden="1" customHeight="1" x14ac:dyDescent="0.35"/>
    <row r="411" ht="6" hidden="1" customHeight="1" x14ac:dyDescent="0.35"/>
    <row r="412" ht="6" hidden="1" customHeight="1" x14ac:dyDescent="0.35"/>
    <row r="413" ht="6" hidden="1" customHeight="1" x14ac:dyDescent="0.35"/>
    <row r="414" ht="6" hidden="1" customHeight="1" x14ac:dyDescent="0.35"/>
    <row r="415" ht="6" hidden="1" customHeight="1" x14ac:dyDescent="0.35"/>
    <row r="416" ht="6" hidden="1" customHeight="1" x14ac:dyDescent="0.35"/>
    <row r="417" ht="6" hidden="1" customHeight="1" x14ac:dyDescent="0.35"/>
    <row r="418" ht="6" hidden="1" customHeight="1" x14ac:dyDescent="0.35"/>
    <row r="419" ht="6" hidden="1" customHeight="1" x14ac:dyDescent="0.35"/>
    <row r="420" ht="6" hidden="1" customHeight="1" x14ac:dyDescent="0.35"/>
    <row r="421" ht="6" hidden="1" customHeight="1" x14ac:dyDescent="0.35"/>
    <row r="422" ht="6" hidden="1" customHeight="1" x14ac:dyDescent="0.35"/>
    <row r="423" ht="6" hidden="1" customHeight="1" x14ac:dyDescent="0.35"/>
    <row r="424" ht="6" hidden="1" customHeight="1" x14ac:dyDescent="0.35"/>
    <row r="425" ht="6" hidden="1" customHeight="1" x14ac:dyDescent="0.35"/>
    <row r="426" ht="6" hidden="1" customHeight="1" x14ac:dyDescent="0.35"/>
    <row r="427" ht="6" hidden="1" customHeight="1" x14ac:dyDescent="0.35"/>
    <row r="428" ht="6" hidden="1" customHeight="1" x14ac:dyDescent="0.35"/>
    <row r="429" ht="6" hidden="1" customHeight="1" x14ac:dyDescent="0.35"/>
    <row r="430" ht="6" hidden="1" customHeight="1" x14ac:dyDescent="0.35"/>
    <row r="431" ht="6" hidden="1" customHeight="1" x14ac:dyDescent="0.35"/>
    <row r="432" ht="6" hidden="1" customHeight="1" x14ac:dyDescent="0.35"/>
    <row r="433" ht="6" hidden="1" customHeight="1" x14ac:dyDescent="0.35"/>
    <row r="434" ht="6" hidden="1" customHeight="1" x14ac:dyDescent="0.35"/>
    <row r="435" ht="6" hidden="1" customHeight="1" x14ac:dyDescent="0.35"/>
    <row r="436" ht="6" hidden="1" customHeight="1" x14ac:dyDescent="0.35"/>
    <row r="437" ht="6" hidden="1" customHeight="1" x14ac:dyDescent="0.35"/>
    <row r="438" ht="6" hidden="1" customHeight="1" x14ac:dyDescent="0.35"/>
    <row r="439" ht="6" hidden="1" customHeight="1" x14ac:dyDescent="0.35"/>
    <row r="440" ht="6" hidden="1" customHeight="1" x14ac:dyDescent="0.35"/>
    <row r="441" ht="6" hidden="1" customHeight="1" x14ac:dyDescent="0.35"/>
    <row r="442" ht="6" hidden="1" customHeight="1" x14ac:dyDescent="0.35"/>
    <row r="443" ht="6" hidden="1" customHeight="1" x14ac:dyDescent="0.35"/>
    <row r="444" ht="6" hidden="1" customHeight="1" x14ac:dyDescent="0.35"/>
    <row r="445" ht="6" hidden="1" customHeight="1" x14ac:dyDescent="0.35"/>
    <row r="446" ht="6" hidden="1" customHeight="1" x14ac:dyDescent="0.35"/>
    <row r="447" ht="6" hidden="1" customHeight="1" x14ac:dyDescent="0.35"/>
    <row r="448" ht="6" hidden="1" customHeight="1" x14ac:dyDescent="0.35"/>
    <row r="449" ht="6" hidden="1" customHeight="1" x14ac:dyDescent="0.35"/>
    <row r="450" ht="6" hidden="1" customHeight="1" x14ac:dyDescent="0.35"/>
    <row r="451" ht="6" hidden="1" customHeight="1" x14ac:dyDescent="0.35"/>
    <row r="452" ht="6" hidden="1" customHeight="1" x14ac:dyDescent="0.35"/>
    <row r="453" ht="6" hidden="1" customHeight="1" x14ac:dyDescent="0.35"/>
    <row r="454" ht="6" hidden="1" customHeight="1" x14ac:dyDescent="0.35"/>
    <row r="455" ht="6" hidden="1" customHeight="1" x14ac:dyDescent="0.35"/>
    <row r="456" ht="6" hidden="1" customHeight="1" x14ac:dyDescent="0.35"/>
    <row r="457" ht="6" hidden="1" customHeight="1" x14ac:dyDescent="0.35"/>
    <row r="458" ht="6" hidden="1" customHeight="1" x14ac:dyDescent="0.35"/>
    <row r="459" ht="6" hidden="1" customHeight="1" x14ac:dyDescent="0.35"/>
    <row r="460" ht="6" hidden="1" customHeight="1" x14ac:dyDescent="0.35"/>
    <row r="461" ht="6" hidden="1" customHeight="1" x14ac:dyDescent="0.35"/>
    <row r="462" ht="6" hidden="1" customHeight="1" x14ac:dyDescent="0.35"/>
    <row r="463" ht="6" hidden="1" customHeight="1" x14ac:dyDescent="0.35"/>
    <row r="464" ht="6" hidden="1" customHeight="1" x14ac:dyDescent="0.35"/>
    <row r="465" ht="6" hidden="1" customHeight="1" x14ac:dyDescent="0.35"/>
    <row r="466" ht="6" hidden="1" customHeight="1" x14ac:dyDescent="0.35"/>
    <row r="467" ht="6" hidden="1" customHeight="1" x14ac:dyDescent="0.35"/>
    <row r="468" ht="6" hidden="1" customHeight="1" x14ac:dyDescent="0.35"/>
    <row r="469" ht="6" hidden="1" customHeight="1" x14ac:dyDescent="0.35"/>
    <row r="470" ht="6" hidden="1" customHeight="1" x14ac:dyDescent="0.35"/>
    <row r="471" ht="6" hidden="1" customHeight="1" x14ac:dyDescent="0.35"/>
    <row r="472" ht="6" hidden="1" customHeight="1" x14ac:dyDescent="0.35"/>
    <row r="473" ht="6" hidden="1" customHeight="1" x14ac:dyDescent="0.35"/>
    <row r="474" ht="6" hidden="1" customHeight="1" x14ac:dyDescent="0.35"/>
    <row r="475" ht="6" hidden="1" customHeight="1" x14ac:dyDescent="0.35"/>
    <row r="476" ht="6" hidden="1" customHeight="1" x14ac:dyDescent="0.35"/>
    <row r="477" ht="6" hidden="1" customHeight="1" x14ac:dyDescent="0.35"/>
    <row r="478" ht="6" hidden="1" customHeight="1" x14ac:dyDescent="0.35"/>
    <row r="479" ht="6" hidden="1" customHeight="1" x14ac:dyDescent="0.35"/>
    <row r="480" ht="6" hidden="1" customHeight="1" x14ac:dyDescent="0.35"/>
    <row r="481" ht="6" hidden="1" customHeight="1" x14ac:dyDescent="0.35"/>
    <row r="482" ht="6" hidden="1" customHeight="1" x14ac:dyDescent="0.35"/>
    <row r="483" ht="6" hidden="1" customHeight="1" x14ac:dyDescent="0.35"/>
    <row r="484" ht="6" hidden="1" customHeight="1" x14ac:dyDescent="0.35"/>
    <row r="485" ht="6" hidden="1" customHeight="1" x14ac:dyDescent="0.35"/>
    <row r="486" ht="6" hidden="1" customHeight="1" x14ac:dyDescent="0.35"/>
    <row r="487" ht="6" hidden="1" customHeight="1" x14ac:dyDescent="0.35"/>
    <row r="488" ht="6" hidden="1" customHeight="1" x14ac:dyDescent="0.35"/>
    <row r="489" ht="6" hidden="1" customHeight="1" x14ac:dyDescent="0.35"/>
    <row r="490" ht="6" hidden="1" customHeight="1" x14ac:dyDescent="0.35"/>
    <row r="491" ht="6" hidden="1" customHeight="1" x14ac:dyDescent="0.35"/>
    <row r="492" ht="6" hidden="1" customHeight="1" x14ac:dyDescent="0.35"/>
    <row r="493" ht="6" hidden="1" customHeight="1" x14ac:dyDescent="0.35"/>
    <row r="494" ht="6" hidden="1" customHeight="1" x14ac:dyDescent="0.35"/>
    <row r="495" ht="6" hidden="1" customHeight="1" x14ac:dyDescent="0.35"/>
    <row r="496" ht="6" hidden="1" customHeight="1" x14ac:dyDescent="0.35"/>
    <row r="497" ht="6" hidden="1" customHeight="1" x14ac:dyDescent="0.35"/>
    <row r="498" ht="6" hidden="1" customHeight="1" x14ac:dyDescent="0.35"/>
    <row r="499" ht="6" hidden="1" customHeight="1" x14ac:dyDescent="0.35"/>
    <row r="500" ht="6" hidden="1" customHeight="1" x14ac:dyDescent="0.35"/>
    <row r="501" ht="6" hidden="1" customHeight="1" x14ac:dyDescent="0.35"/>
    <row r="502" ht="6" hidden="1" customHeight="1" x14ac:dyDescent="0.35"/>
    <row r="503" ht="6" hidden="1" customHeight="1" x14ac:dyDescent="0.35"/>
    <row r="504" ht="6" hidden="1" customHeight="1" x14ac:dyDescent="0.35"/>
    <row r="505" ht="6" hidden="1" customHeight="1" x14ac:dyDescent="0.35"/>
    <row r="506" ht="6" hidden="1" customHeight="1" x14ac:dyDescent="0.35"/>
    <row r="507" ht="6" hidden="1" customHeight="1" x14ac:dyDescent="0.35"/>
    <row r="508" ht="6" hidden="1" customHeight="1" x14ac:dyDescent="0.35"/>
    <row r="509" ht="6" hidden="1" customHeight="1" x14ac:dyDescent="0.35"/>
    <row r="510" ht="6" hidden="1" customHeight="1" x14ac:dyDescent="0.35"/>
    <row r="511" ht="6" hidden="1" customHeight="1" x14ac:dyDescent="0.35"/>
    <row r="512" ht="6" hidden="1" customHeight="1" x14ac:dyDescent="0.35"/>
    <row r="513" ht="6" hidden="1" customHeight="1" x14ac:dyDescent="0.35"/>
    <row r="514" ht="6" hidden="1" customHeight="1" x14ac:dyDescent="0.35"/>
    <row r="515" ht="6" hidden="1" customHeight="1" x14ac:dyDescent="0.35"/>
    <row r="516" ht="6" hidden="1" customHeight="1" x14ac:dyDescent="0.35"/>
    <row r="517" ht="6" hidden="1" customHeight="1" x14ac:dyDescent="0.35"/>
    <row r="518" ht="6" hidden="1" customHeight="1" x14ac:dyDescent="0.35"/>
    <row r="519" ht="6" hidden="1" customHeight="1" x14ac:dyDescent="0.35"/>
    <row r="520" ht="6" hidden="1" customHeight="1" x14ac:dyDescent="0.35"/>
    <row r="521" ht="6" hidden="1" customHeight="1" x14ac:dyDescent="0.35"/>
    <row r="522" ht="6" hidden="1" customHeight="1" x14ac:dyDescent="0.35"/>
    <row r="523" ht="6" hidden="1" customHeight="1" x14ac:dyDescent="0.35"/>
    <row r="524" ht="6" hidden="1" customHeight="1" x14ac:dyDescent="0.35"/>
    <row r="525" ht="6" hidden="1" customHeight="1" x14ac:dyDescent="0.35"/>
    <row r="526" ht="6" hidden="1" customHeight="1" x14ac:dyDescent="0.35"/>
    <row r="527" ht="6" hidden="1" customHeight="1" x14ac:dyDescent="0.35"/>
    <row r="528" ht="6" hidden="1" customHeight="1" x14ac:dyDescent="0.35"/>
    <row r="529" ht="6" hidden="1" customHeight="1" x14ac:dyDescent="0.35"/>
    <row r="530" ht="6" hidden="1" customHeight="1" x14ac:dyDescent="0.35"/>
    <row r="531" ht="6" hidden="1" customHeight="1" x14ac:dyDescent="0.35"/>
    <row r="532" ht="6" hidden="1" customHeight="1" x14ac:dyDescent="0.35"/>
    <row r="533" ht="6" hidden="1" customHeight="1" x14ac:dyDescent="0.35"/>
    <row r="534" ht="6" hidden="1" customHeight="1" x14ac:dyDescent="0.35"/>
    <row r="535" ht="6" hidden="1" customHeight="1" x14ac:dyDescent="0.35"/>
    <row r="536" ht="6" hidden="1" customHeight="1" x14ac:dyDescent="0.35"/>
    <row r="537" ht="6" hidden="1" customHeight="1" x14ac:dyDescent="0.35"/>
    <row r="538" ht="6" hidden="1" customHeight="1" x14ac:dyDescent="0.35"/>
    <row r="539" ht="6" hidden="1" customHeight="1" x14ac:dyDescent="0.35"/>
    <row r="540" ht="6" hidden="1" customHeight="1" x14ac:dyDescent="0.35"/>
    <row r="541" ht="6" hidden="1" customHeight="1" x14ac:dyDescent="0.35"/>
    <row r="542" ht="6" hidden="1" customHeight="1" x14ac:dyDescent="0.35"/>
    <row r="543" ht="6" hidden="1" customHeight="1" x14ac:dyDescent="0.35"/>
    <row r="544" ht="6" hidden="1" customHeight="1" x14ac:dyDescent="0.35"/>
    <row r="545" ht="6" hidden="1" customHeight="1" x14ac:dyDescent="0.35"/>
    <row r="546" ht="6" hidden="1" customHeight="1" x14ac:dyDescent="0.35"/>
    <row r="547" ht="6" hidden="1" customHeight="1" x14ac:dyDescent="0.35"/>
    <row r="548" ht="6" hidden="1" customHeight="1" x14ac:dyDescent="0.35"/>
    <row r="549" ht="6" hidden="1" customHeight="1" x14ac:dyDescent="0.35"/>
    <row r="550" ht="6" hidden="1" customHeight="1" x14ac:dyDescent="0.35"/>
    <row r="551" ht="6" hidden="1" customHeight="1" x14ac:dyDescent="0.35"/>
    <row r="552" ht="6" hidden="1" customHeight="1" x14ac:dyDescent="0.35"/>
    <row r="553" ht="6" hidden="1" customHeight="1" x14ac:dyDescent="0.35"/>
    <row r="554" ht="6" hidden="1" customHeight="1" x14ac:dyDescent="0.35"/>
    <row r="555" ht="6" hidden="1" customHeight="1" x14ac:dyDescent="0.35"/>
    <row r="556" ht="6" hidden="1" customHeight="1" x14ac:dyDescent="0.35"/>
    <row r="557" ht="6" hidden="1" customHeight="1" x14ac:dyDescent="0.35"/>
    <row r="558" ht="6" hidden="1" customHeight="1" x14ac:dyDescent="0.35"/>
    <row r="559" ht="6" hidden="1" customHeight="1" x14ac:dyDescent="0.35"/>
    <row r="560" ht="6" hidden="1" customHeight="1" x14ac:dyDescent="0.35"/>
    <row r="561" ht="6" hidden="1" customHeight="1" x14ac:dyDescent="0.35"/>
    <row r="562" ht="6" hidden="1" customHeight="1" x14ac:dyDescent="0.35"/>
    <row r="563" ht="6" hidden="1" customHeight="1" x14ac:dyDescent="0.35"/>
    <row r="564" ht="6" hidden="1" customHeight="1" x14ac:dyDescent="0.35"/>
    <row r="565" ht="6" hidden="1" customHeight="1" x14ac:dyDescent="0.35"/>
    <row r="566" ht="6" hidden="1" customHeight="1" x14ac:dyDescent="0.35"/>
    <row r="567" ht="6" hidden="1" customHeight="1" x14ac:dyDescent="0.35"/>
    <row r="568" ht="6" hidden="1" customHeight="1" x14ac:dyDescent="0.35"/>
    <row r="569" ht="6" hidden="1" customHeight="1" x14ac:dyDescent="0.35"/>
    <row r="570" ht="6" hidden="1" customHeight="1" x14ac:dyDescent="0.35"/>
    <row r="571" ht="6" hidden="1" customHeight="1" x14ac:dyDescent="0.35"/>
    <row r="572" ht="6" hidden="1" customHeight="1" x14ac:dyDescent="0.35"/>
    <row r="573" ht="6" hidden="1" customHeight="1" x14ac:dyDescent="0.35"/>
    <row r="574" ht="6" hidden="1" customHeight="1" x14ac:dyDescent="0.35"/>
    <row r="575" ht="6" hidden="1" customHeight="1" x14ac:dyDescent="0.35"/>
    <row r="576" ht="6" hidden="1" customHeight="1" x14ac:dyDescent="0.35"/>
    <row r="577" ht="6" hidden="1" customHeight="1" x14ac:dyDescent="0.35"/>
    <row r="578" ht="6" hidden="1" customHeight="1" x14ac:dyDescent="0.35"/>
    <row r="579" ht="6" hidden="1" customHeight="1" x14ac:dyDescent="0.35"/>
    <row r="580" ht="6" hidden="1" customHeight="1" x14ac:dyDescent="0.35"/>
    <row r="581" ht="6" hidden="1" customHeight="1" x14ac:dyDescent="0.35"/>
    <row r="582" ht="6" hidden="1" customHeight="1" x14ac:dyDescent="0.35"/>
    <row r="583" ht="6" hidden="1" customHeight="1" x14ac:dyDescent="0.35"/>
    <row r="584" ht="6" hidden="1" customHeight="1" x14ac:dyDescent="0.35"/>
    <row r="585" ht="6" hidden="1" customHeight="1" x14ac:dyDescent="0.35"/>
    <row r="586" ht="6" hidden="1" customHeight="1" x14ac:dyDescent="0.35"/>
    <row r="587" ht="6" hidden="1" customHeight="1" x14ac:dyDescent="0.35"/>
    <row r="588" ht="6" hidden="1" customHeight="1" x14ac:dyDescent="0.35"/>
    <row r="589" ht="6" hidden="1" customHeight="1" x14ac:dyDescent="0.35"/>
    <row r="590" ht="6" hidden="1" customHeight="1" x14ac:dyDescent="0.35"/>
    <row r="591" ht="6" hidden="1" customHeight="1" x14ac:dyDescent="0.35"/>
    <row r="592" ht="6" hidden="1" customHeight="1" x14ac:dyDescent="0.35"/>
    <row r="593" ht="6" hidden="1" customHeight="1" x14ac:dyDescent="0.35"/>
    <row r="594" ht="6" hidden="1" customHeight="1" x14ac:dyDescent="0.35"/>
    <row r="595" ht="6" hidden="1" customHeight="1" x14ac:dyDescent="0.35"/>
    <row r="596" ht="6" hidden="1" customHeight="1" x14ac:dyDescent="0.35"/>
    <row r="597" ht="6" hidden="1" customHeight="1" x14ac:dyDescent="0.35"/>
    <row r="598" ht="6" hidden="1" customHeight="1" x14ac:dyDescent="0.35"/>
    <row r="599" ht="6" hidden="1" customHeight="1" x14ac:dyDescent="0.35"/>
    <row r="600" ht="6" hidden="1" customHeight="1" x14ac:dyDescent="0.35"/>
    <row r="601" ht="6" hidden="1" customHeight="1" x14ac:dyDescent="0.35"/>
    <row r="602" ht="6" hidden="1" customHeight="1" x14ac:dyDescent="0.35"/>
    <row r="603" ht="6" hidden="1" customHeight="1" x14ac:dyDescent="0.35"/>
    <row r="604" ht="6" hidden="1" customHeight="1" x14ac:dyDescent="0.35"/>
    <row r="605" ht="6" hidden="1" customHeight="1" x14ac:dyDescent="0.35"/>
    <row r="606" ht="6" hidden="1" customHeight="1" x14ac:dyDescent="0.35"/>
    <row r="607" ht="6" hidden="1" customHeight="1" x14ac:dyDescent="0.35"/>
    <row r="608" ht="6" hidden="1" customHeight="1" x14ac:dyDescent="0.35"/>
    <row r="609" ht="6" hidden="1" customHeight="1" x14ac:dyDescent="0.35"/>
    <row r="610" ht="6" hidden="1" customHeight="1" x14ac:dyDescent="0.35"/>
    <row r="611" ht="6" hidden="1" customHeight="1" x14ac:dyDescent="0.35"/>
    <row r="612" ht="6" hidden="1" customHeight="1" x14ac:dyDescent="0.35"/>
    <row r="613" ht="6" hidden="1" customHeight="1" x14ac:dyDescent="0.35"/>
    <row r="614" ht="6" hidden="1" customHeight="1" x14ac:dyDescent="0.35"/>
    <row r="615" ht="6" hidden="1" customHeight="1" x14ac:dyDescent="0.35"/>
    <row r="616" ht="6" hidden="1" customHeight="1" x14ac:dyDescent="0.35"/>
    <row r="617" ht="6" hidden="1" customHeight="1" x14ac:dyDescent="0.35"/>
    <row r="618" ht="6" hidden="1" customHeight="1" x14ac:dyDescent="0.35"/>
    <row r="619" ht="6" hidden="1" customHeight="1" x14ac:dyDescent="0.35"/>
    <row r="620" ht="6" hidden="1" customHeight="1" x14ac:dyDescent="0.35"/>
    <row r="621" ht="6" hidden="1" customHeight="1" x14ac:dyDescent="0.35"/>
    <row r="622" ht="6" hidden="1" customHeight="1" x14ac:dyDescent="0.35"/>
    <row r="623" ht="6" hidden="1" customHeight="1" x14ac:dyDescent="0.35"/>
    <row r="624" ht="6" hidden="1" customHeight="1" x14ac:dyDescent="0.35"/>
    <row r="625" ht="6" hidden="1" customHeight="1" x14ac:dyDescent="0.35"/>
    <row r="626" ht="6" hidden="1" customHeight="1" x14ac:dyDescent="0.35"/>
    <row r="627" ht="6" hidden="1" customHeight="1" x14ac:dyDescent="0.35"/>
    <row r="628" ht="6" hidden="1" customHeight="1" x14ac:dyDescent="0.35"/>
    <row r="629" ht="6" hidden="1" customHeight="1" x14ac:dyDescent="0.35"/>
    <row r="630" ht="6" hidden="1" customHeight="1" x14ac:dyDescent="0.35"/>
    <row r="631" ht="6" hidden="1" customHeight="1" x14ac:dyDescent="0.35"/>
    <row r="632" ht="6" hidden="1" customHeight="1" x14ac:dyDescent="0.35"/>
    <row r="633" ht="6" hidden="1" customHeight="1" x14ac:dyDescent="0.35"/>
    <row r="634" ht="6" hidden="1" customHeight="1" x14ac:dyDescent="0.35"/>
    <row r="635" ht="6" hidden="1" customHeight="1" x14ac:dyDescent="0.35"/>
    <row r="636" ht="6" hidden="1" customHeight="1" x14ac:dyDescent="0.35"/>
    <row r="637" ht="6" hidden="1" customHeight="1" x14ac:dyDescent="0.35"/>
    <row r="638" ht="6" hidden="1" customHeight="1" x14ac:dyDescent="0.35"/>
    <row r="639" ht="6" hidden="1" customHeight="1" x14ac:dyDescent="0.35"/>
    <row r="640" ht="6" hidden="1" customHeight="1" x14ac:dyDescent="0.35"/>
    <row r="641" ht="6" hidden="1" customHeight="1" x14ac:dyDescent="0.35"/>
    <row r="642" ht="6" hidden="1" customHeight="1" x14ac:dyDescent="0.35"/>
    <row r="643" ht="6" hidden="1" customHeight="1" x14ac:dyDescent="0.35"/>
    <row r="644" ht="6" hidden="1" customHeight="1" x14ac:dyDescent="0.35"/>
    <row r="645" ht="6" hidden="1" customHeight="1" x14ac:dyDescent="0.35"/>
    <row r="646" ht="6" hidden="1" customHeight="1" x14ac:dyDescent="0.35"/>
    <row r="647" ht="6" hidden="1" customHeight="1" x14ac:dyDescent="0.35"/>
    <row r="648" ht="6" hidden="1" customHeight="1" x14ac:dyDescent="0.35"/>
    <row r="649" ht="6" hidden="1" customHeight="1" x14ac:dyDescent="0.35"/>
    <row r="650" ht="6" hidden="1" customHeight="1" x14ac:dyDescent="0.35"/>
    <row r="651" ht="6" hidden="1" customHeight="1" x14ac:dyDescent="0.35"/>
    <row r="652" ht="6" hidden="1" customHeight="1" x14ac:dyDescent="0.35"/>
    <row r="653" ht="6" hidden="1" customHeight="1" x14ac:dyDescent="0.35"/>
    <row r="654" ht="6" hidden="1" customHeight="1" x14ac:dyDescent="0.35"/>
    <row r="655" ht="6" hidden="1" customHeight="1" x14ac:dyDescent="0.35"/>
    <row r="656" ht="6" hidden="1" customHeight="1" x14ac:dyDescent="0.35"/>
    <row r="657" ht="6" hidden="1" customHeight="1" x14ac:dyDescent="0.35"/>
    <row r="658" ht="6" hidden="1" customHeight="1" x14ac:dyDescent="0.35"/>
    <row r="659" ht="6" hidden="1" customHeight="1" x14ac:dyDescent="0.35"/>
    <row r="660" ht="6" hidden="1" customHeight="1" x14ac:dyDescent="0.35"/>
    <row r="661" ht="6" hidden="1" customHeight="1" x14ac:dyDescent="0.35"/>
    <row r="662" ht="6" hidden="1" customHeight="1" x14ac:dyDescent="0.35"/>
    <row r="663" ht="6" hidden="1" customHeight="1" x14ac:dyDescent="0.35"/>
    <row r="664" ht="6" hidden="1" customHeight="1" x14ac:dyDescent="0.35"/>
    <row r="665" ht="6" hidden="1" customHeight="1" x14ac:dyDescent="0.35"/>
    <row r="666" ht="6" hidden="1" customHeight="1" x14ac:dyDescent="0.35"/>
    <row r="667" ht="6" hidden="1" customHeight="1" x14ac:dyDescent="0.35"/>
    <row r="668" ht="6" hidden="1" customHeight="1" x14ac:dyDescent="0.35"/>
    <row r="669" ht="6" hidden="1" customHeight="1" x14ac:dyDescent="0.35"/>
    <row r="670" ht="6" hidden="1" customHeight="1" x14ac:dyDescent="0.35"/>
    <row r="671" ht="6" hidden="1" customHeight="1" x14ac:dyDescent="0.35"/>
    <row r="672" ht="6" hidden="1" customHeight="1" x14ac:dyDescent="0.35"/>
    <row r="673" ht="6" hidden="1" customHeight="1" x14ac:dyDescent="0.35"/>
    <row r="674" ht="6" hidden="1" customHeight="1" x14ac:dyDescent="0.35"/>
    <row r="675" ht="6" hidden="1" customHeight="1" x14ac:dyDescent="0.35"/>
    <row r="676" ht="6" hidden="1" customHeight="1" x14ac:dyDescent="0.35"/>
    <row r="677" ht="6" hidden="1" customHeight="1" x14ac:dyDescent="0.35"/>
    <row r="678" ht="6" hidden="1" customHeight="1" x14ac:dyDescent="0.35"/>
    <row r="679" ht="6" hidden="1" customHeight="1" x14ac:dyDescent="0.35"/>
    <row r="680" ht="6" hidden="1" customHeight="1" x14ac:dyDescent="0.35"/>
    <row r="681" ht="6" hidden="1" customHeight="1" x14ac:dyDescent="0.35"/>
    <row r="682" ht="6" hidden="1" customHeight="1" x14ac:dyDescent="0.35"/>
    <row r="683" ht="6" hidden="1" customHeight="1" x14ac:dyDescent="0.35"/>
    <row r="684" ht="6" hidden="1" customHeight="1" x14ac:dyDescent="0.35"/>
    <row r="685" ht="6" hidden="1" customHeight="1" x14ac:dyDescent="0.35"/>
    <row r="686" ht="6" hidden="1" customHeight="1" x14ac:dyDescent="0.35"/>
    <row r="687" ht="6" hidden="1" customHeight="1" x14ac:dyDescent="0.35"/>
    <row r="688" ht="6" hidden="1" customHeight="1" x14ac:dyDescent="0.35"/>
    <row r="689" ht="6" hidden="1" customHeight="1" x14ac:dyDescent="0.35"/>
    <row r="690" ht="6" hidden="1" customHeight="1" x14ac:dyDescent="0.35"/>
    <row r="691" ht="6" hidden="1" customHeight="1" x14ac:dyDescent="0.35"/>
    <row r="692" ht="6" hidden="1" customHeight="1" x14ac:dyDescent="0.35"/>
    <row r="693" ht="6" hidden="1" customHeight="1" x14ac:dyDescent="0.35"/>
    <row r="694" ht="6" hidden="1" customHeight="1" x14ac:dyDescent="0.35"/>
    <row r="695" ht="6" hidden="1" customHeight="1" x14ac:dyDescent="0.35"/>
    <row r="696" ht="6" hidden="1" customHeight="1" x14ac:dyDescent="0.35"/>
    <row r="697" ht="6" hidden="1" customHeight="1" x14ac:dyDescent="0.35"/>
    <row r="698" ht="6" hidden="1" customHeight="1" x14ac:dyDescent="0.35"/>
    <row r="699" ht="6" hidden="1" customHeight="1" x14ac:dyDescent="0.35"/>
    <row r="700" ht="6" hidden="1" customHeight="1" x14ac:dyDescent="0.35"/>
    <row r="701" ht="6" hidden="1" customHeight="1" x14ac:dyDescent="0.35"/>
    <row r="702" ht="6" hidden="1" customHeight="1" x14ac:dyDescent="0.35"/>
    <row r="703" ht="6" hidden="1" customHeight="1" x14ac:dyDescent="0.35"/>
    <row r="704" ht="6" hidden="1" customHeight="1" x14ac:dyDescent="0.35"/>
    <row r="705" ht="6" hidden="1" customHeight="1" x14ac:dyDescent="0.35"/>
    <row r="706" ht="6" hidden="1" customHeight="1" x14ac:dyDescent="0.35"/>
    <row r="707" ht="6" hidden="1" customHeight="1" x14ac:dyDescent="0.35"/>
    <row r="708" ht="6" hidden="1" customHeight="1" x14ac:dyDescent="0.35"/>
    <row r="709" ht="6" hidden="1" customHeight="1" x14ac:dyDescent="0.35"/>
    <row r="710" ht="6" hidden="1" customHeight="1" x14ac:dyDescent="0.35"/>
    <row r="711" ht="6" hidden="1" customHeight="1" x14ac:dyDescent="0.35"/>
    <row r="712" ht="6" hidden="1" customHeight="1" x14ac:dyDescent="0.35"/>
    <row r="713" ht="6" hidden="1" customHeight="1" x14ac:dyDescent="0.35"/>
    <row r="714" ht="6" hidden="1" customHeight="1" x14ac:dyDescent="0.35"/>
    <row r="715" ht="6" hidden="1" customHeight="1" x14ac:dyDescent="0.35"/>
    <row r="716" ht="6" hidden="1" customHeight="1" x14ac:dyDescent="0.35"/>
    <row r="717" ht="6" hidden="1" customHeight="1" x14ac:dyDescent="0.35"/>
    <row r="718" ht="6" hidden="1" customHeight="1" x14ac:dyDescent="0.35"/>
    <row r="719" ht="6" hidden="1" customHeight="1" x14ac:dyDescent="0.35"/>
    <row r="720" ht="6" hidden="1" customHeight="1" x14ac:dyDescent="0.35"/>
    <row r="721" ht="6" hidden="1" customHeight="1" x14ac:dyDescent="0.35"/>
    <row r="722" ht="6" hidden="1" customHeight="1" x14ac:dyDescent="0.35"/>
    <row r="723" ht="6" hidden="1" customHeight="1" x14ac:dyDescent="0.35"/>
    <row r="724" ht="6" hidden="1" customHeight="1" x14ac:dyDescent="0.35"/>
    <row r="725" ht="6" hidden="1" customHeight="1" x14ac:dyDescent="0.35"/>
    <row r="726" ht="6" hidden="1" customHeight="1" x14ac:dyDescent="0.35"/>
    <row r="727" ht="6" hidden="1" customHeight="1" x14ac:dyDescent="0.35"/>
    <row r="728" ht="6" hidden="1" customHeight="1" x14ac:dyDescent="0.35"/>
    <row r="729" ht="6" hidden="1" customHeight="1" x14ac:dyDescent="0.35"/>
    <row r="730" ht="6" hidden="1" customHeight="1" x14ac:dyDescent="0.35"/>
    <row r="731" ht="6" hidden="1" customHeight="1" x14ac:dyDescent="0.35"/>
    <row r="732" ht="6" hidden="1" customHeight="1" x14ac:dyDescent="0.35"/>
    <row r="733" ht="6" hidden="1" customHeight="1" x14ac:dyDescent="0.35"/>
    <row r="734" ht="6" hidden="1" customHeight="1" x14ac:dyDescent="0.35"/>
    <row r="735" ht="6" hidden="1" customHeight="1" x14ac:dyDescent="0.35"/>
    <row r="736" ht="6" hidden="1" customHeight="1" x14ac:dyDescent="0.35"/>
    <row r="737" ht="6" hidden="1" customHeight="1" x14ac:dyDescent="0.35"/>
    <row r="738" ht="6" hidden="1" customHeight="1" x14ac:dyDescent="0.35"/>
    <row r="739" ht="6" hidden="1" customHeight="1" x14ac:dyDescent="0.35"/>
    <row r="740" ht="6" hidden="1" customHeight="1" x14ac:dyDescent="0.35"/>
    <row r="741" ht="6" hidden="1" customHeight="1" x14ac:dyDescent="0.35"/>
    <row r="742" ht="6" hidden="1" customHeight="1" x14ac:dyDescent="0.35"/>
    <row r="743" ht="6" hidden="1" customHeight="1" x14ac:dyDescent="0.35"/>
    <row r="744" ht="6" hidden="1" customHeight="1" x14ac:dyDescent="0.35"/>
    <row r="745" ht="6" hidden="1" customHeight="1" x14ac:dyDescent="0.35"/>
    <row r="746" ht="6" hidden="1" customHeight="1" x14ac:dyDescent="0.35"/>
    <row r="747" ht="6" hidden="1" customHeight="1" x14ac:dyDescent="0.35"/>
    <row r="748" ht="6" hidden="1" customHeight="1" x14ac:dyDescent="0.35"/>
    <row r="749" ht="6" hidden="1" customHeight="1" x14ac:dyDescent="0.35"/>
    <row r="750" ht="6" hidden="1" customHeight="1" x14ac:dyDescent="0.35"/>
    <row r="751" ht="6" hidden="1" customHeight="1" x14ac:dyDescent="0.35"/>
    <row r="752" ht="6" hidden="1" customHeight="1" x14ac:dyDescent="0.35"/>
    <row r="753" ht="6" hidden="1" customHeight="1" x14ac:dyDescent="0.35"/>
    <row r="754" ht="6" hidden="1" customHeight="1" x14ac:dyDescent="0.35"/>
    <row r="755" ht="6" hidden="1" customHeight="1" x14ac:dyDescent="0.35"/>
    <row r="756" ht="6" hidden="1" customHeight="1" x14ac:dyDescent="0.35"/>
    <row r="757" ht="6" hidden="1" customHeight="1" x14ac:dyDescent="0.35"/>
    <row r="758" ht="6" hidden="1" customHeight="1" x14ac:dyDescent="0.35"/>
    <row r="759" ht="6" hidden="1" customHeight="1" x14ac:dyDescent="0.35"/>
    <row r="760" ht="6" hidden="1" customHeight="1" x14ac:dyDescent="0.35"/>
    <row r="761" ht="6" hidden="1" customHeight="1" x14ac:dyDescent="0.35"/>
    <row r="762" ht="6" hidden="1" customHeight="1" x14ac:dyDescent="0.35"/>
    <row r="763" ht="6" hidden="1" customHeight="1" x14ac:dyDescent="0.35"/>
    <row r="764" ht="6" hidden="1" customHeight="1" x14ac:dyDescent="0.35"/>
    <row r="765" ht="6" hidden="1" customHeight="1" x14ac:dyDescent="0.35"/>
    <row r="766" ht="6" hidden="1" customHeight="1" x14ac:dyDescent="0.35"/>
    <row r="767" ht="6" hidden="1" customHeight="1" x14ac:dyDescent="0.35"/>
    <row r="768" ht="6" hidden="1" customHeight="1" x14ac:dyDescent="0.35"/>
    <row r="769" ht="6" hidden="1" customHeight="1" x14ac:dyDescent="0.35"/>
    <row r="770" ht="6" hidden="1" customHeight="1" x14ac:dyDescent="0.35"/>
    <row r="771" ht="6" hidden="1" customHeight="1" x14ac:dyDescent="0.35"/>
    <row r="772" ht="6" hidden="1" customHeight="1" x14ac:dyDescent="0.35"/>
    <row r="773" ht="6" hidden="1" customHeight="1" x14ac:dyDescent="0.35"/>
    <row r="774" ht="6" hidden="1" customHeight="1" x14ac:dyDescent="0.35"/>
    <row r="775" ht="6" hidden="1" customHeight="1" x14ac:dyDescent="0.35"/>
    <row r="776" ht="6" hidden="1" customHeight="1" x14ac:dyDescent="0.35"/>
    <row r="777" ht="6" hidden="1" customHeight="1" x14ac:dyDescent="0.35"/>
    <row r="778" ht="6" hidden="1" customHeight="1" x14ac:dyDescent="0.35"/>
    <row r="779" ht="6" hidden="1" customHeight="1" x14ac:dyDescent="0.35"/>
    <row r="780" ht="6" hidden="1" customHeight="1" x14ac:dyDescent="0.35"/>
    <row r="781" ht="6" hidden="1" customHeight="1" x14ac:dyDescent="0.35"/>
    <row r="782" ht="6" hidden="1" customHeight="1" x14ac:dyDescent="0.35"/>
    <row r="783" ht="6" hidden="1" customHeight="1" x14ac:dyDescent="0.35"/>
    <row r="784" ht="6" hidden="1" customHeight="1" x14ac:dyDescent="0.35"/>
    <row r="785" ht="6" hidden="1" customHeight="1" x14ac:dyDescent="0.35"/>
    <row r="786" ht="6" hidden="1" customHeight="1" x14ac:dyDescent="0.35"/>
    <row r="787" ht="6" hidden="1" customHeight="1" x14ac:dyDescent="0.35"/>
    <row r="788" ht="6" hidden="1" customHeight="1" x14ac:dyDescent="0.35"/>
    <row r="789" ht="6" hidden="1" customHeight="1" x14ac:dyDescent="0.35"/>
    <row r="790" ht="6" hidden="1" customHeight="1" x14ac:dyDescent="0.35"/>
    <row r="791" ht="6" hidden="1" customHeight="1" x14ac:dyDescent="0.35"/>
    <row r="792" ht="6" hidden="1" customHeight="1" x14ac:dyDescent="0.35"/>
    <row r="793" ht="6" hidden="1" customHeight="1" x14ac:dyDescent="0.35"/>
    <row r="794" ht="6" hidden="1" customHeight="1" x14ac:dyDescent="0.35"/>
    <row r="795" ht="6" hidden="1" customHeight="1" x14ac:dyDescent="0.35"/>
    <row r="796" ht="6" hidden="1" customHeight="1" x14ac:dyDescent="0.35"/>
    <row r="797" ht="6" hidden="1" customHeight="1" x14ac:dyDescent="0.35"/>
    <row r="798" ht="6" hidden="1" customHeight="1" x14ac:dyDescent="0.35"/>
    <row r="799" ht="6" hidden="1" customHeight="1" x14ac:dyDescent="0.35"/>
    <row r="800" ht="6" hidden="1" customHeight="1" x14ac:dyDescent="0.35"/>
    <row r="801" ht="6" hidden="1" customHeight="1" x14ac:dyDescent="0.35"/>
    <row r="802" ht="6" hidden="1" customHeight="1" x14ac:dyDescent="0.35"/>
    <row r="803" ht="6" hidden="1" customHeight="1" x14ac:dyDescent="0.35"/>
    <row r="804" ht="6" hidden="1" customHeight="1" x14ac:dyDescent="0.35"/>
    <row r="805" ht="6" hidden="1" customHeight="1" x14ac:dyDescent="0.35"/>
    <row r="806" ht="6" hidden="1" customHeight="1" x14ac:dyDescent="0.35"/>
    <row r="807" ht="6" hidden="1" customHeight="1" x14ac:dyDescent="0.35"/>
    <row r="808" ht="6" hidden="1" customHeight="1" x14ac:dyDescent="0.35"/>
    <row r="809" ht="6" hidden="1" customHeight="1" x14ac:dyDescent="0.35"/>
    <row r="810" ht="6" hidden="1" customHeight="1" x14ac:dyDescent="0.35"/>
    <row r="811" ht="6" hidden="1" customHeight="1" x14ac:dyDescent="0.35"/>
    <row r="812" ht="6" hidden="1" customHeight="1" x14ac:dyDescent="0.35"/>
    <row r="813" ht="6" hidden="1" customHeight="1" x14ac:dyDescent="0.35"/>
    <row r="814" ht="6" hidden="1" customHeight="1" x14ac:dyDescent="0.35"/>
    <row r="815" ht="6" hidden="1" customHeight="1" x14ac:dyDescent="0.35"/>
    <row r="816" ht="6" hidden="1" customHeight="1" x14ac:dyDescent="0.35"/>
    <row r="817" ht="6" hidden="1" customHeight="1" x14ac:dyDescent="0.35"/>
    <row r="818" ht="6" hidden="1" customHeight="1" x14ac:dyDescent="0.35"/>
    <row r="819" ht="6" hidden="1" customHeight="1" x14ac:dyDescent="0.35"/>
    <row r="820" ht="6" hidden="1" customHeight="1" x14ac:dyDescent="0.35"/>
    <row r="821" ht="6" hidden="1" customHeight="1" x14ac:dyDescent="0.35"/>
    <row r="822" ht="6" hidden="1" customHeight="1" x14ac:dyDescent="0.35"/>
    <row r="823" ht="6" hidden="1" customHeight="1" x14ac:dyDescent="0.35"/>
    <row r="824" ht="6" hidden="1" customHeight="1" x14ac:dyDescent="0.35"/>
    <row r="825" ht="6" hidden="1" customHeight="1" x14ac:dyDescent="0.35"/>
    <row r="826" ht="6" hidden="1" customHeight="1" x14ac:dyDescent="0.35"/>
    <row r="827" ht="6" hidden="1" customHeight="1" x14ac:dyDescent="0.35"/>
    <row r="828" ht="6" hidden="1" customHeight="1" x14ac:dyDescent="0.35"/>
    <row r="829" ht="6" hidden="1" customHeight="1" x14ac:dyDescent="0.35"/>
    <row r="830" ht="6" hidden="1" customHeight="1" x14ac:dyDescent="0.35"/>
    <row r="831" ht="6" hidden="1" customHeight="1" x14ac:dyDescent="0.35"/>
    <row r="832" ht="6" hidden="1" customHeight="1" x14ac:dyDescent="0.35"/>
    <row r="833" ht="6" hidden="1" customHeight="1" x14ac:dyDescent="0.35"/>
    <row r="834" ht="6" hidden="1" customHeight="1" x14ac:dyDescent="0.35"/>
    <row r="835" ht="6" hidden="1" customHeight="1" x14ac:dyDescent="0.35"/>
    <row r="836" ht="6" hidden="1" customHeight="1" x14ac:dyDescent="0.35"/>
    <row r="837" ht="6" hidden="1" customHeight="1" x14ac:dyDescent="0.35"/>
    <row r="838" ht="6" hidden="1" customHeight="1" x14ac:dyDescent="0.35"/>
    <row r="839" ht="6" hidden="1" customHeight="1" x14ac:dyDescent="0.35"/>
    <row r="840" ht="6" hidden="1" customHeight="1" x14ac:dyDescent="0.35"/>
    <row r="841" ht="6" hidden="1" customHeight="1" x14ac:dyDescent="0.35"/>
    <row r="842" ht="6" hidden="1" customHeight="1" x14ac:dyDescent="0.35"/>
    <row r="843" ht="6" hidden="1" customHeight="1" x14ac:dyDescent="0.35"/>
    <row r="844" ht="6" hidden="1" customHeight="1" x14ac:dyDescent="0.35"/>
    <row r="845" ht="6" hidden="1" customHeight="1" x14ac:dyDescent="0.35"/>
    <row r="846" ht="6" hidden="1" customHeight="1" x14ac:dyDescent="0.35"/>
    <row r="847" ht="6" hidden="1" customHeight="1" x14ac:dyDescent="0.35"/>
    <row r="848" ht="6" hidden="1" customHeight="1" x14ac:dyDescent="0.35"/>
    <row r="849" ht="6" hidden="1" customHeight="1" x14ac:dyDescent="0.35"/>
    <row r="850" ht="6" hidden="1" customHeight="1" x14ac:dyDescent="0.35"/>
    <row r="851" ht="6" hidden="1" customHeight="1" x14ac:dyDescent="0.35"/>
    <row r="852" ht="6" hidden="1" customHeight="1" x14ac:dyDescent="0.35"/>
    <row r="853" ht="6" hidden="1" customHeight="1" x14ac:dyDescent="0.35"/>
    <row r="854" ht="6" hidden="1" customHeight="1" x14ac:dyDescent="0.35"/>
    <row r="855" ht="6" hidden="1" customHeight="1" x14ac:dyDescent="0.35"/>
    <row r="856" ht="6" hidden="1" customHeight="1" x14ac:dyDescent="0.35"/>
    <row r="857" ht="6" hidden="1" customHeight="1" x14ac:dyDescent="0.35"/>
    <row r="858" ht="6" hidden="1" customHeight="1" x14ac:dyDescent="0.35"/>
    <row r="859" ht="6" hidden="1" customHeight="1" x14ac:dyDescent="0.35"/>
    <row r="860" ht="6" hidden="1" customHeight="1" x14ac:dyDescent="0.35"/>
    <row r="861" ht="6" hidden="1" customHeight="1" x14ac:dyDescent="0.35"/>
    <row r="862" ht="6" hidden="1" customHeight="1" x14ac:dyDescent="0.35"/>
    <row r="863" ht="6" hidden="1" customHeight="1" x14ac:dyDescent="0.35"/>
    <row r="864" ht="6" hidden="1" customHeight="1" x14ac:dyDescent="0.35"/>
    <row r="865" ht="6" hidden="1" customHeight="1" x14ac:dyDescent="0.35"/>
    <row r="866" ht="6" hidden="1" customHeight="1" x14ac:dyDescent="0.35"/>
    <row r="867" ht="6" hidden="1" customHeight="1" x14ac:dyDescent="0.35"/>
    <row r="868" ht="6" hidden="1" customHeight="1" x14ac:dyDescent="0.35"/>
    <row r="869" ht="6" hidden="1" customHeight="1" x14ac:dyDescent="0.35"/>
    <row r="870" ht="6" hidden="1" customHeight="1" x14ac:dyDescent="0.35"/>
    <row r="871" ht="6" hidden="1" customHeight="1" x14ac:dyDescent="0.35"/>
    <row r="872" ht="6" hidden="1" customHeight="1" x14ac:dyDescent="0.35"/>
    <row r="873" ht="6" hidden="1" customHeight="1" x14ac:dyDescent="0.35"/>
    <row r="874" ht="6" hidden="1" customHeight="1" x14ac:dyDescent="0.35"/>
    <row r="875" ht="6" hidden="1" customHeight="1" x14ac:dyDescent="0.35"/>
    <row r="876" ht="6" hidden="1" customHeight="1" x14ac:dyDescent="0.35"/>
    <row r="877" ht="6" hidden="1" customHeight="1" x14ac:dyDescent="0.35"/>
    <row r="878" ht="6" hidden="1" customHeight="1" x14ac:dyDescent="0.35"/>
    <row r="879" ht="6" hidden="1" customHeight="1" x14ac:dyDescent="0.35"/>
    <row r="880" ht="6" hidden="1" customHeight="1" x14ac:dyDescent="0.35"/>
    <row r="881" ht="6" hidden="1" customHeight="1" x14ac:dyDescent="0.35"/>
    <row r="882" ht="6" hidden="1" customHeight="1" x14ac:dyDescent="0.35"/>
    <row r="883" ht="6" hidden="1" customHeight="1" x14ac:dyDescent="0.35"/>
    <row r="884" ht="6" hidden="1" customHeight="1" x14ac:dyDescent="0.35"/>
    <row r="885" ht="6" hidden="1" customHeight="1" x14ac:dyDescent="0.35"/>
    <row r="886" ht="6" hidden="1" customHeight="1" x14ac:dyDescent="0.35"/>
    <row r="887" ht="6" hidden="1" customHeight="1" x14ac:dyDescent="0.35"/>
    <row r="888" ht="6" hidden="1" customHeight="1" x14ac:dyDescent="0.35"/>
    <row r="889" ht="6" hidden="1" customHeight="1" x14ac:dyDescent="0.35"/>
    <row r="890" ht="6" hidden="1" customHeight="1" x14ac:dyDescent="0.35"/>
    <row r="891" ht="6" hidden="1" customHeight="1" x14ac:dyDescent="0.35"/>
    <row r="892" ht="6" hidden="1" customHeight="1" x14ac:dyDescent="0.35"/>
    <row r="893" ht="6" hidden="1" customHeight="1" x14ac:dyDescent="0.35"/>
    <row r="894" ht="6" hidden="1" customHeight="1" x14ac:dyDescent="0.35"/>
    <row r="895" ht="6" hidden="1" customHeight="1" x14ac:dyDescent="0.35"/>
    <row r="896" ht="6" hidden="1" customHeight="1" x14ac:dyDescent="0.35"/>
    <row r="897" ht="6" hidden="1" customHeight="1" x14ac:dyDescent="0.35"/>
    <row r="898" ht="6" hidden="1" customHeight="1" x14ac:dyDescent="0.35"/>
    <row r="899" ht="6" hidden="1" customHeight="1" x14ac:dyDescent="0.35"/>
    <row r="900" ht="6" hidden="1" customHeight="1" x14ac:dyDescent="0.35"/>
    <row r="901" ht="6" hidden="1" customHeight="1" x14ac:dyDescent="0.35"/>
    <row r="902" ht="6" hidden="1" customHeight="1" x14ac:dyDescent="0.35"/>
    <row r="903" ht="6" hidden="1" customHeight="1" x14ac:dyDescent="0.35"/>
    <row r="904" ht="6" hidden="1" customHeight="1" x14ac:dyDescent="0.35"/>
    <row r="905" ht="6" hidden="1" customHeight="1" x14ac:dyDescent="0.35"/>
    <row r="906" ht="6" hidden="1" customHeight="1" x14ac:dyDescent="0.35"/>
    <row r="907" ht="6" hidden="1" customHeight="1" x14ac:dyDescent="0.35"/>
    <row r="908" ht="6" hidden="1" customHeight="1" x14ac:dyDescent="0.35"/>
    <row r="909" ht="6" hidden="1" customHeight="1" x14ac:dyDescent="0.35"/>
    <row r="910" ht="6" hidden="1" customHeight="1" x14ac:dyDescent="0.35"/>
    <row r="911" ht="6" hidden="1" customHeight="1" x14ac:dyDescent="0.35"/>
    <row r="912" ht="6" hidden="1" customHeight="1" x14ac:dyDescent="0.35"/>
    <row r="913" ht="6" hidden="1" customHeight="1" x14ac:dyDescent="0.35"/>
    <row r="914" ht="6" hidden="1" customHeight="1" x14ac:dyDescent="0.35"/>
    <row r="915" ht="6" hidden="1" customHeight="1" x14ac:dyDescent="0.35"/>
    <row r="916" ht="6" hidden="1" customHeight="1" x14ac:dyDescent="0.35"/>
    <row r="917" ht="6" hidden="1" customHeight="1" x14ac:dyDescent="0.35"/>
    <row r="918" ht="6" hidden="1" customHeight="1" x14ac:dyDescent="0.35"/>
    <row r="919" ht="6" hidden="1" customHeight="1" x14ac:dyDescent="0.35"/>
    <row r="920" ht="6" hidden="1" customHeight="1" x14ac:dyDescent="0.35"/>
    <row r="921" ht="6" hidden="1" customHeight="1" x14ac:dyDescent="0.35"/>
    <row r="922" ht="6" hidden="1" customHeight="1" x14ac:dyDescent="0.35"/>
    <row r="923" ht="6" hidden="1" customHeight="1" x14ac:dyDescent="0.35"/>
    <row r="924" ht="6" hidden="1" customHeight="1" x14ac:dyDescent="0.35"/>
    <row r="925" ht="6" hidden="1" customHeight="1" x14ac:dyDescent="0.35"/>
    <row r="926" ht="6" hidden="1" customHeight="1" x14ac:dyDescent="0.35"/>
    <row r="927" ht="6" hidden="1" customHeight="1" x14ac:dyDescent="0.35"/>
    <row r="928" ht="6" hidden="1" customHeight="1" x14ac:dyDescent="0.35"/>
    <row r="929" ht="6" hidden="1" customHeight="1" x14ac:dyDescent="0.35"/>
    <row r="930" ht="6" hidden="1" customHeight="1" x14ac:dyDescent="0.35"/>
    <row r="931" ht="6" hidden="1" customHeight="1" x14ac:dyDescent="0.35"/>
    <row r="932" ht="6" hidden="1" customHeight="1" x14ac:dyDescent="0.35"/>
    <row r="933" ht="6" hidden="1" customHeight="1" x14ac:dyDescent="0.35"/>
    <row r="934" ht="6" hidden="1" customHeight="1" x14ac:dyDescent="0.35"/>
    <row r="935" ht="6" hidden="1" customHeight="1" x14ac:dyDescent="0.35"/>
    <row r="936" ht="6" hidden="1" customHeight="1" x14ac:dyDescent="0.35"/>
    <row r="937" ht="6" hidden="1" customHeight="1" x14ac:dyDescent="0.35"/>
    <row r="938" ht="6" hidden="1" customHeight="1" x14ac:dyDescent="0.35"/>
    <row r="939" ht="6" hidden="1" customHeight="1" x14ac:dyDescent="0.35"/>
    <row r="940" ht="6" hidden="1" customHeight="1" x14ac:dyDescent="0.35"/>
    <row r="941" ht="6" hidden="1" customHeight="1" x14ac:dyDescent="0.35"/>
    <row r="942" ht="6" hidden="1" customHeight="1" x14ac:dyDescent="0.35"/>
    <row r="943" ht="6" hidden="1" customHeight="1" x14ac:dyDescent="0.35"/>
    <row r="944" ht="6" hidden="1" customHeight="1" x14ac:dyDescent="0.35"/>
    <row r="945" ht="6" hidden="1" customHeight="1" x14ac:dyDescent="0.35"/>
    <row r="946" ht="6" hidden="1" customHeight="1" x14ac:dyDescent="0.35"/>
    <row r="947" ht="6" hidden="1" customHeight="1" x14ac:dyDescent="0.35"/>
    <row r="948" ht="6" hidden="1" customHeight="1" x14ac:dyDescent="0.35"/>
    <row r="949" ht="6" hidden="1" customHeight="1" x14ac:dyDescent="0.35"/>
    <row r="950" ht="6" hidden="1" customHeight="1" x14ac:dyDescent="0.35"/>
    <row r="951" ht="6" hidden="1" customHeight="1" x14ac:dyDescent="0.35"/>
    <row r="952" ht="6" hidden="1" customHeight="1" x14ac:dyDescent="0.35"/>
    <row r="953" ht="6" hidden="1" customHeight="1" x14ac:dyDescent="0.35"/>
    <row r="954" ht="6" hidden="1" customHeight="1" x14ac:dyDescent="0.35"/>
    <row r="955" ht="6" hidden="1" customHeight="1" x14ac:dyDescent="0.35"/>
    <row r="956" ht="6" hidden="1" customHeight="1" x14ac:dyDescent="0.35"/>
    <row r="957" ht="6" hidden="1" customHeight="1" x14ac:dyDescent="0.35"/>
    <row r="958" ht="6" hidden="1" customHeight="1" x14ac:dyDescent="0.35"/>
    <row r="959" ht="6" hidden="1" customHeight="1" x14ac:dyDescent="0.35"/>
    <row r="960" ht="6" hidden="1" customHeight="1" x14ac:dyDescent="0.35"/>
    <row r="961" ht="6" hidden="1" customHeight="1" x14ac:dyDescent="0.35"/>
    <row r="962" ht="6" hidden="1" customHeight="1" x14ac:dyDescent="0.35"/>
    <row r="963" ht="6" hidden="1" customHeight="1" x14ac:dyDescent="0.35"/>
    <row r="964" ht="6" hidden="1" customHeight="1" x14ac:dyDescent="0.35"/>
    <row r="965" ht="6" hidden="1" customHeight="1" x14ac:dyDescent="0.35"/>
    <row r="966" ht="6" hidden="1" customHeight="1" x14ac:dyDescent="0.35"/>
    <row r="967" ht="6" hidden="1" customHeight="1" x14ac:dyDescent="0.35"/>
    <row r="968" ht="6" hidden="1" customHeight="1" x14ac:dyDescent="0.35"/>
    <row r="969" ht="6" hidden="1" customHeight="1" x14ac:dyDescent="0.35"/>
    <row r="970" ht="6" hidden="1" customHeight="1" x14ac:dyDescent="0.35"/>
    <row r="971" ht="6" hidden="1" customHeight="1" x14ac:dyDescent="0.35"/>
    <row r="972" ht="6" hidden="1" customHeight="1" x14ac:dyDescent="0.35"/>
    <row r="973" ht="6" hidden="1" customHeight="1" x14ac:dyDescent="0.35"/>
    <row r="974" ht="6" hidden="1" customHeight="1" x14ac:dyDescent="0.35"/>
    <row r="975" ht="6" hidden="1" customHeight="1" x14ac:dyDescent="0.35"/>
    <row r="976" ht="6" hidden="1" customHeight="1" x14ac:dyDescent="0.35"/>
    <row r="977" ht="6" hidden="1" customHeight="1" x14ac:dyDescent="0.35"/>
    <row r="978" ht="6" hidden="1" customHeight="1" x14ac:dyDescent="0.35"/>
    <row r="979" ht="6" hidden="1" customHeight="1" x14ac:dyDescent="0.35"/>
    <row r="980" ht="6" hidden="1" customHeight="1" x14ac:dyDescent="0.35"/>
    <row r="981" ht="6" hidden="1" customHeight="1" x14ac:dyDescent="0.35"/>
    <row r="982" ht="6" hidden="1" customHeight="1" x14ac:dyDescent="0.35"/>
    <row r="983" ht="6" hidden="1" customHeight="1" x14ac:dyDescent="0.35"/>
    <row r="984" ht="6" hidden="1" customHeight="1" x14ac:dyDescent="0.35"/>
    <row r="985" ht="6" hidden="1" customHeight="1" x14ac:dyDescent="0.35"/>
    <row r="986" ht="6" hidden="1" customHeight="1" x14ac:dyDescent="0.35"/>
    <row r="987" ht="6" hidden="1" customHeight="1" x14ac:dyDescent="0.35"/>
    <row r="988" ht="6" hidden="1" customHeight="1" x14ac:dyDescent="0.35"/>
    <row r="989" ht="6" hidden="1" customHeight="1" x14ac:dyDescent="0.35"/>
    <row r="990" ht="6" hidden="1" customHeight="1" x14ac:dyDescent="0.35"/>
    <row r="991" ht="6" hidden="1" customHeight="1" x14ac:dyDescent="0.35"/>
    <row r="992" ht="6" hidden="1" customHeight="1" x14ac:dyDescent="0.35"/>
    <row r="993" ht="6" hidden="1" customHeight="1" x14ac:dyDescent="0.35"/>
    <row r="994" ht="6" hidden="1" customHeight="1" x14ac:dyDescent="0.35"/>
    <row r="995" ht="6" hidden="1" customHeight="1" x14ac:dyDescent="0.35"/>
    <row r="996" ht="6" hidden="1" customHeight="1" x14ac:dyDescent="0.35"/>
    <row r="997" ht="6" hidden="1" customHeight="1" x14ac:dyDescent="0.35"/>
    <row r="998" ht="6" hidden="1" customHeight="1" x14ac:dyDescent="0.35"/>
    <row r="999" ht="6" hidden="1" customHeight="1" x14ac:dyDescent="0.35"/>
    <row r="1000" ht="6" hidden="1" customHeight="1" x14ac:dyDescent="0.35"/>
    <row r="1001" ht="6" hidden="1" customHeight="1" x14ac:dyDescent="0.35"/>
    <row r="1002" ht="6" hidden="1" customHeight="1" x14ac:dyDescent="0.35"/>
    <row r="1003" ht="6" hidden="1" customHeight="1" x14ac:dyDescent="0.35"/>
    <row r="1004" ht="6" hidden="1" customHeight="1" x14ac:dyDescent="0.35"/>
    <row r="1005" ht="6" hidden="1" customHeight="1" x14ac:dyDescent="0.35"/>
    <row r="1006" ht="6" hidden="1" customHeight="1" x14ac:dyDescent="0.35"/>
    <row r="1007" ht="6" hidden="1" customHeight="1" x14ac:dyDescent="0.35"/>
    <row r="1008" ht="6" hidden="1" customHeight="1" x14ac:dyDescent="0.35"/>
    <row r="1009" ht="6" hidden="1" customHeight="1" x14ac:dyDescent="0.35"/>
    <row r="1010" ht="6" hidden="1" customHeight="1" x14ac:dyDescent="0.35"/>
    <row r="1011" ht="6" hidden="1" customHeight="1" x14ac:dyDescent="0.35"/>
    <row r="1012" ht="6" hidden="1" customHeight="1" x14ac:dyDescent="0.35"/>
    <row r="1013" ht="6" hidden="1" customHeight="1" x14ac:dyDescent="0.35"/>
    <row r="1014" ht="6" hidden="1" customHeight="1" x14ac:dyDescent="0.35"/>
    <row r="1015" ht="6" hidden="1" customHeight="1" x14ac:dyDescent="0.35"/>
    <row r="1016" ht="6" hidden="1" customHeight="1" x14ac:dyDescent="0.35"/>
    <row r="1017" ht="6" hidden="1" customHeight="1" x14ac:dyDescent="0.35"/>
    <row r="1018" ht="6" hidden="1" customHeight="1" x14ac:dyDescent="0.35"/>
    <row r="1019" ht="6" hidden="1" customHeight="1" x14ac:dyDescent="0.35"/>
    <row r="1020" ht="6" hidden="1" customHeight="1" x14ac:dyDescent="0.35"/>
    <row r="1021" ht="6" hidden="1" customHeight="1" x14ac:dyDescent="0.35"/>
    <row r="1022" ht="6" hidden="1" customHeight="1" x14ac:dyDescent="0.35"/>
    <row r="1023" ht="6" hidden="1" customHeight="1" x14ac:dyDescent="0.35"/>
    <row r="1024" ht="6" hidden="1" customHeight="1" x14ac:dyDescent="0.35"/>
    <row r="1025" ht="6" hidden="1" customHeight="1" x14ac:dyDescent="0.35"/>
    <row r="1026" ht="6" hidden="1" customHeight="1" x14ac:dyDescent="0.35"/>
    <row r="1027" ht="6" hidden="1" customHeight="1" x14ac:dyDescent="0.35"/>
    <row r="1028" ht="6" hidden="1" customHeight="1" x14ac:dyDescent="0.35"/>
    <row r="1029" ht="6" hidden="1" customHeight="1" x14ac:dyDescent="0.35"/>
    <row r="1030" ht="6" hidden="1" customHeight="1" x14ac:dyDescent="0.35"/>
    <row r="1031" ht="6" hidden="1" customHeight="1" x14ac:dyDescent="0.35"/>
    <row r="1032" ht="6" hidden="1" customHeight="1" x14ac:dyDescent="0.35"/>
    <row r="1033" ht="6" hidden="1" customHeight="1" x14ac:dyDescent="0.35"/>
    <row r="1034" ht="6" hidden="1" customHeight="1" x14ac:dyDescent="0.35"/>
    <row r="1035" ht="6" hidden="1" customHeight="1" x14ac:dyDescent="0.35"/>
    <row r="1036" ht="6" hidden="1" customHeight="1" x14ac:dyDescent="0.35"/>
    <row r="1037" ht="6" hidden="1" customHeight="1" x14ac:dyDescent="0.35"/>
    <row r="1038" ht="6" hidden="1" customHeight="1" x14ac:dyDescent="0.35"/>
    <row r="1039" ht="6" hidden="1" customHeight="1" x14ac:dyDescent="0.35"/>
    <row r="1040" ht="6" hidden="1" customHeight="1" x14ac:dyDescent="0.35"/>
    <row r="1041" ht="6" hidden="1" customHeight="1" x14ac:dyDescent="0.35"/>
    <row r="1042" ht="6" hidden="1" customHeight="1" x14ac:dyDescent="0.35"/>
    <row r="1043" ht="6" hidden="1" customHeight="1" x14ac:dyDescent="0.35"/>
    <row r="1044" ht="6" hidden="1" customHeight="1" x14ac:dyDescent="0.35"/>
    <row r="1045" ht="6" hidden="1" customHeight="1" x14ac:dyDescent="0.35"/>
    <row r="1046" ht="6" hidden="1" customHeight="1" x14ac:dyDescent="0.35"/>
    <row r="1047" ht="6" hidden="1" customHeight="1" x14ac:dyDescent="0.35"/>
    <row r="1048" ht="6" hidden="1" customHeight="1" x14ac:dyDescent="0.35"/>
    <row r="1049" ht="6" hidden="1" customHeight="1" x14ac:dyDescent="0.35"/>
    <row r="1050" ht="6" hidden="1" customHeight="1" x14ac:dyDescent="0.35"/>
    <row r="1051" ht="6" hidden="1" customHeight="1" x14ac:dyDescent="0.35"/>
    <row r="1052" ht="6" hidden="1" customHeight="1" x14ac:dyDescent="0.35"/>
    <row r="1053" ht="6" hidden="1" customHeight="1" x14ac:dyDescent="0.35"/>
    <row r="1054" ht="6" hidden="1" customHeight="1" x14ac:dyDescent="0.35"/>
    <row r="1055" ht="6" hidden="1" customHeight="1" x14ac:dyDescent="0.35"/>
    <row r="1056" ht="6" hidden="1" customHeight="1" x14ac:dyDescent="0.35"/>
    <row r="1057" ht="6" hidden="1" customHeight="1" x14ac:dyDescent="0.35"/>
    <row r="1058" ht="6" hidden="1" customHeight="1" x14ac:dyDescent="0.35"/>
    <row r="1059" ht="6" hidden="1" customHeight="1" x14ac:dyDescent="0.35"/>
    <row r="1060" ht="6" hidden="1" customHeight="1" x14ac:dyDescent="0.35"/>
    <row r="1061" ht="6" hidden="1" customHeight="1" x14ac:dyDescent="0.35"/>
    <row r="1062" ht="6" hidden="1" customHeight="1" x14ac:dyDescent="0.35"/>
    <row r="1063" ht="6" hidden="1" customHeight="1" x14ac:dyDescent="0.35"/>
    <row r="1064" ht="6" hidden="1" customHeight="1" x14ac:dyDescent="0.35"/>
    <row r="1065" ht="6" hidden="1" customHeight="1" x14ac:dyDescent="0.35"/>
    <row r="1066" ht="6" hidden="1" customHeight="1" x14ac:dyDescent="0.35"/>
    <row r="1067" ht="6" hidden="1" customHeight="1" x14ac:dyDescent="0.35"/>
    <row r="1068" ht="6" hidden="1" customHeight="1" x14ac:dyDescent="0.35"/>
    <row r="1069" ht="6" hidden="1" customHeight="1" x14ac:dyDescent="0.35"/>
    <row r="1070" ht="6" hidden="1" customHeight="1" x14ac:dyDescent="0.35"/>
    <row r="1071" ht="6" hidden="1" customHeight="1" x14ac:dyDescent="0.35"/>
    <row r="1072" ht="6" hidden="1" customHeight="1" x14ac:dyDescent="0.35"/>
    <row r="1073" ht="6" hidden="1" customHeight="1" x14ac:dyDescent="0.35"/>
    <row r="1074" ht="6" hidden="1" customHeight="1" x14ac:dyDescent="0.35"/>
    <row r="1075" ht="6" hidden="1" customHeight="1" x14ac:dyDescent="0.35"/>
    <row r="1076" ht="6" hidden="1" customHeight="1" x14ac:dyDescent="0.35"/>
    <row r="1077" ht="6" hidden="1" customHeight="1" x14ac:dyDescent="0.35"/>
    <row r="1078" ht="6" hidden="1" customHeight="1" x14ac:dyDescent="0.35"/>
    <row r="1079" ht="6" hidden="1" customHeight="1" x14ac:dyDescent="0.35"/>
    <row r="1080" ht="6" hidden="1" customHeight="1" x14ac:dyDescent="0.35"/>
    <row r="1081" ht="6" hidden="1" customHeight="1" x14ac:dyDescent="0.35"/>
    <row r="1082" ht="6" hidden="1" customHeight="1" x14ac:dyDescent="0.35"/>
    <row r="1083" ht="6" hidden="1" customHeight="1" x14ac:dyDescent="0.35"/>
    <row r="1084" ht="6" hidden="1" customHeight="1" x14ac:dyDescent="0.35"/>
    <row r="1085" ht="6" hidden="1" customHeight="1" x14ac:dyDescent="0.35"/>
    <row r="1086" ht="6" hidden="1" customHeight="1" x14ac:dyDescent="0.35"/>
    <row r="1087" ht="6" hidden="1" customHeight="1" x14ac:dyDescent="0.35"/>
    <row r="1088" ht="6" hidden="1" customHeight="1" x14ac:dyDescent="0.35"/>
    <row r="1089" ht="6" hidden="1" customHeight="1" x14ac:dyDescent="0.35"/>
    <row r="1090" ht="6" hidden="1" customHeight="1" x14ac:dyDescent="0.35"/>
    <row r="1091" ht="6" hidden="1" customHeight="1" x14ac:dyDescent="0.35"/>
    <row r="1092" ht="6" hidden="1" customHeight="1" x14ac:dyDescent="0.35"/>
    <row r="1093" ht="6" hidden="1" customHeight="1" x14ac:dyDescent="0.35"/>
    <row r="1094" ht="6" hidden="1" customHeight="1" x14ac:dyDescent="0.35"/>
    <row r="1095" ht="6" hidden="1" customHeight="1" x14ac:dyDescent="0.35"/>
    <row r="1096" ht="6" hidden="1" customHeight="1" x14ac:dyDescent="0.35"/>
    <row r="1097" ht="6" hidden="1" customHeight="1" x14ac:dyDescent="0.35"/>
    <row r="1098" ht="6" hidden="1" customHeight="1" x14ac:dyDescent="0.35"/>
    <row r="1099" ht="6" hidden="1" customHeight="1" x14ac:dyDescent="0.35"/>
    <row r="1100" ht="6" hidden="1" customHeight="1" x14ac:dyDescent="0.35"/>
    <row r="1101" ht="6" hidden="1" customHeight="1" x14ac:dyDescent="0.35"/>
    <row r="1102" ht="6" hidden="1" customHeight="1" x14ac:dyDescent="0.35"/>
    <row r="1103" ht="6" hidden="1" customHeight="1" x14ac:dyDescent="0.35"/>
    <row r="1104" ht="6" hidden="1" customHeight="1" x14ac:dyDescent="0.35"/>
    <row r="1105" ht="6" hidden="1" customHeight="1" x14ac:dyDescent="0.35"/>
    <row r="1106" ht="6" hidden="1" customHeight="1" x14ac:dyDescent="0.35"/>
    <row r="1107" ht="6" hidden="1" customHeight="1" x14ac:dyDescent="0.35"/>
    <row r="1108" ht="6" hidden="1" customHeight="1" x14ac:dyDescent="0.35"/>
    <row r="1109" ht="6" hidden="1" customHeight="1" x14ac:dyDescent="0.35"/>
    <row r="1110" ht="6" hidden="1" customHeight="1" x14ac:dyDescent="0.35"/>
    <row r="1111" ht="6" hidden="1" customHeight="1" x14ac:dyDescent="0.35"/>
    <row r="1112" ht="6" hidden="1" customHeight="1" x14ac:dyDescent="0.35"/>
    <row r="1113" ht="6" hidden="1" customHeight="1" x14ac:dyDescent="0.35"/>
    <row r="1114" ht="6" hidden="1" customHeight="1" x14ac:dyDescent="0.35"/>
    <row r="1115" ht="6" hidden="1" customHeight="1" x14ac:dyDescent="0.35"/>
    <row r="1116" ht="6" hidden="1" customHeight="1" x14ac:dyDescent="0.35"/>
    <row r="1117" ht="6" hidden="1" customHeight="1" x14ac:dyDescent="0.35"/>
    <row r="1118" ht="6" hidden="1" customHeight="1" x14ac:dyDescent="0.35"/>
    <row r="1119" ht="6" hidden="1" customHeight="1" x14ac:dyDescent="0.35"/>
    <row r="1120" ht="6" hidden="1" customHeight="1" x14ac:dyDescent="0.35"/>
    <row r="1121" ht="6" hidden="1" customHeight="1" x14ac:dyDescent="0.35"/>
    <row r="1122" ht="6" hidden="1" customHeight="1" x14ac:dyDescent="0.35"/>
    <row r="1123" ht="6" hidden="1" customHeight="1" x14ac:dyDescent="0.35"/>
    <row r="1124" ht="6" hidden="1" customHeight="1" x14ac:dyDescent="0.35"/>
    <row r="1125" ht="6" hidden="1" customHeight="1" x14ac:dyDescent="0.35"/>
    <row r="1126" ht="6" hidden="1" customHeight="1" x14ac:dyDescent="0.35"/>
    <row r="1127" ht="6" hidden="1" customHeight="1" x14ac:dyDescent="0.35"/>
    <row r="1128" ht="6" hidden="1" customHeight="1" x14ac:dyDescent="0.35"/>
    <row r="1129" ht="6" hidden="1" customHeight="1" x14ac:dyDescent="0.35"/>
    <row r="1130" ht="6" hidden="1" customHeight="1" x14ac:dyDescent="0.35"/>
    <row r="1131" ht="6" hidden="1" customHeight="1" x14ac:dyDescent="0.35"/>
    <row r="1132" ht="6" hidden="1" customHeight="1" x14ac:dyDescent="0.35"/>
    <row r="1133" ht="6" hidden="1" customHeight="1" x14ac:dyDescent="0.35"/>
    <row r="1134" ht="6" hidden="1" customHeight="1" x14ac:dyDescent="0.35"/>
    <row r="1135" ht="6" hidden="1" customHeight="1" x14ac:dyDescent="0.35"/>
    <row r="1136" ht="6" hidden="1" customHeight="1" x14ac:dyDescent="0.35"/>
    <row r="1137" ht="6" hidden="1" customHeight="1" x14ac:dyDescent="0.35"/>
    <row r="1138" ht="6" hidden="1" customHeight="1" x14ac:dyDescent="0.35"/>
    <row r="1139" ht="6" hidden="1" customHeight="1" x14ac:dyDescent="0.35"/>
    <row r="1140" ht="6" hidden="1" customHeight="1" x14ac:dyDescent="0.35"/>
    <row r="1141" ht="6" hidden="1" customHeight="1" x14ac:dyDescent="0.35"/>
    <row r="1142" ht="6" hidden="1" customHeight="1" x14ac:dyDescent="0.35"/>
    <row r="1143" ht="6" hidden="1" customHeight="1" x14ac:dyDescent="0.35"/>
    <row r="1144" ht="6" hidden="1" customHeight="1" x14ac:dyDescent="0.35"/>
    <row r="1145" ht="6" hidden="1" customHeight="1" x14ac:dyDescent="0.35"/>
    <row r="1146" ht="6" hidden="1" customHeight="1" x14ac:dyDescent="0.35"/>
    <row r="1147" ht="6" hidden="1" customHeight="1" x14ac:dyDescent="0.35"/>
    <row r="1148" ht="6" hidden="1" customHeight="1" x14ac:dyDescent="0.35"/>
    <row r="1149" ht="6" hidden="1" customHeight="1" x14ac:dyDescent="0.35"/>
    <row r="1150" ht="6" hidden="1" customHeight="1" x14ac:dyDescent="0.35"/>
    <row r="1151" ht="6" hidden="1" customHeight="1" x14ac:dyDescent="0.35"/>
    <row r="1152" ht="6" hidden="1" customHeight="1" x14ac:dyDescent="0.35"/>
    <row r="1153" ht="6" hidden="1" customHeight="1" x14ac:dyDescent="0.35"/>
    <row r="1154" ht="6" hidden="1" customHeight="1" x14ac:dyDescent="0.35"/>
    <row r="1155" ht="6" hidden="1" customHeight="1" x14ac:dyDescent="0.35"/>
    <row r="1156" ht="6" hidden="1" customHeight="1" x14ac:dyDescent="0.35"/>
    <row r="1157" ht="6" hidden="1" customHeight="1" x14ac:dyDescent="0.35"/>
    <row r="1158" ht="6" hidden="1" customHeight="1" x14ac:dyDescent="0.35"/>
    <row r="1159" ht="6" hidden="1" customHeight="1" x14ac:dyDescent="0.35"/>
    <row r="1160" ht="6" hidden="1" customHeight="1" x14ac:dyDescent="0.35"/>
    <row r="1161" ht="6" hidden="1" customHeight="1" x14ac:dyDescent="0.35"/>
    <row r="1162" ht="6" hidden="1" customHeight="1" x14ac:dyDescent="0.35"/>
    <row r="1163" ht="6" hidden="1" customHeight="1" x14ac:dyDescent="0.35"/>
    <row r="1164" ht="6" hidden="1" customHeight="1" x14ac:dyDescent="0.35"/>
    <row r="1165" ht="6" hidden="1" customHeight="1" x14ac:dyDescent="0.35"/>
    <row r="1166" ht="6" hidden="1" customHeight="1" x14ac:dyDescent="0.35"/>
    <row r="1167" ht="6" hidden="1" customHeight="1" x14ac:dyDescent="0.35"/>
    <row r="1168" ht="6" hidden="1" customHeight="1" x14ac:dyDescent="0.35"/>
    <row r="1169" ht="6" hidden="1" customHeight="1" x14ac:dyDescent="0.35"/>
    <row r="1170" ht="6" hidden="1" customHeight="1" x14ac:dyDescent="0.35"/>
    <row r="1171" ht="6" hidden="1" customHeight="1" x14ac:dyDescent="0.35"/>
    <row r="1172" ht="6" hidden="1" customHeight="1" x14ac:dyDescent="0.35"/>
    <row r="1173" ht="6" hidden="1" customHeight="1" x14ac:dyDescent="0.35"/>
    <row r="1174" ht="6" hidden="1" customHeight="1" x14ac:dyDescent="0.35"/>
    <row r="1175" ht="6" hidden="1" customHeight="1" x14ac:dyDescent="0.35"/>
    <row r="1176" ht="6" hidden="1" customHeight="1" x14ac:dyDescent="0.35"/>
    <row r="1177" ht="6" hidden="1" customHeight="1" x14ac:dyDescent="0.35"/>
    <row r="1178" ht="6" hidden="1" customHeight="1" x14ac:dyDescent="0.35"/>
    <row r="1179" ht="6" hidden="1" customHeight="1" x14ac:dyDescent="0.35"/>
    <row r="1180" ht="6" hidden="1" customHeight="1" x14ac:dyDescent="0.35"/>
    <row r="1181" ht="6" hidden="1" customHeight="1" x14ac:dyDescent="0.35"/>
    <row r="1182" ht="6" hidden="1" customHeight="1" x14ac:dyDescent="0.35"/>
    <row r="1183" ht="6" hidden="1" customHeight="1" x14ac:dyDescent="0.35"/>
    <row r="1184" ht="6" hidden="1" customHeight="1" x14ac:dyDescent="0.35"/>
    <row r="1185" ht="6" hidden="1" customHeight="1" x14ac:dyDescent="0.35"/>
    <row r="1186" ht="6" hidden="1" customHeight="1" x14ac:dyDescent="0.35"/>
    <row r="1187" ht="6" hidden="1" customHeight="1" x14ac:dyDescent="0.35"/>
    <row r="1188" ht="6" hidden="1" customHeight="1" x14ac:dyDescent="0.35"/>
    <row r="1189" ht="6" hidden="1" customHeight="1" x14ac:dyDescent="0.35"/>
    <row r="1190" ht="6" hidden="1" customHeight="1" x14ac:dyDescent="0.35"/>
    <row r="1191" ht="6" hidden="1" customHeight="1" x14ac:dyDescent="0.35"/>
    <row r="1192" ht="6" hidden="1" customHeight="1" x14ac:dyDescent="0.35"/>
    <row r="1193" ht="6" hidden="1" customHeight="1" x14ac:dyDescent="0.35"/>
    <row r="1194" ht="6" hidden="1" customHeight="1" x14ac:dyDescent="0.35"/>
    <row r="1195" ht="6" hidden="1" customHeight="1" x14ac:dyDescent="0.35"/>
    <row r="1196" ht="6" hidden="1" customHeight="1" x14ac:dyDescent="0.35"/>
    <row r="1197" ht="6" hidden="1" customHeight="1" x14ac:dyDescent="0.35"/>
    <row r="1198" ht="6" hidden="1" customHeight="1" x14ac:dyDescent="0.35"/>
    <row r="1199" ht="6" hidden="1" customHeight="1" x14ac:dyDescent="0.35"/>
    <row r="1200" ht="6" hidden="1" customHeight="1" x14ac:dyDescent="0.35"/>
    <row r="1201" ht="6" hidden="1" customHeight="1" x14ac:dyDescent="0.35"/>
    <row r="1202" ht="6" hidden="1" customHeight="1" x14ac:dyDescent="0.35"/>
    <row r="1203" ht="6" hidden="1" customHeight="1" x14ac:dyDescent="0.35"/>
    <row r="1204" ht="6" hidden="1" customHeight="1" x14ac:dyDescent="0.35"/>
    <row r="1205" ht="6" hidden="1" customHeight="1" x14ac:dyDescent="0.35"/>
    <row r="1206" ht="6" hidden="1" customHeight="1" x14ac:dyDescent="0.35"/>
    <row r="1207" ht="6" hidden="1" customHeight="1" x14ac:dyDescent="0.35"/>
    <row r="1208" ht="6" hidden="1" customHeight="1" x14ac:dyDescent="0.35"/>
    <row r="1209" ht="6" hidden="1" customHeight="1" x14ac:dyDescent="0.35"/>
    <row r="1210" ht="6" hidden="1" customHeight="1" x14ac:dyDescent="0.35"/>
    <row r="1211" ht="6" hidden="1" customHeight="1" x14ac:dyDescent="0.35"/>
    <row r="1212" ht="6" hidden="1" customHeight="1" x14ac:dyDescent="0.35"/>
    <row r="1213" ht="6" hidden="1" customHeight="1" x14ac:dyDescent="0.35"/>
    <row r="1214" ht="6" hidden="1" customHeight="1" x14ac:dyDescent="0.35"/>
    <row r="1215" ht="6" hidden="1" customHeight="1" x14ac:dyDescent="0.35"/>
    <row r="1216" ht="6" hidden="1" customHeight="1" x14ac:dyDescent="0.35"/>
    <row r="1217" ht="6" hidden="1" customHeight="1" x14ac:dyDescent="0.35"/>
    <row r="1218" ht="6" hidden="1" customHeight="1" x14ac:dyDescent="0.35"/>
    <row r="1219" ht="6" hidden="1" customHeight="1" x14ac:dyDescent="0.35"/>
    <row r="1220" ht="6" hidden="1" customHeight="1" x14ac:dyDescent="0.35"/>
    <row r="1221" ht="6" hidden="1" customHeight="1" x14ac:dyDescent="0.35"/>
    <row r="1222" ht="6" hidden="1" customHeight="1" x14ac:dyDescent="0.35"/>
    <row r="1223" ht="6" hidden="1" customHeight="1" x14ac:dyDescent="0.35"/>
    <row r="1224" ht="6" hidden="1" customHeight="1" x14ac:dyDescent="0.35"/>
    <row r="1225" ht="6" hidden="1" customHeight="1" x14ac:dyDescent="0.35"/>
    <row r="1226" ht="6" hidden="1" customHeight="1" x14ac:dyDescent="0.35"/>
    <row r="1227" ht="6" hidden="1" customHeight="1" x14ac:dyDescent="0.35"/>
    <row r="1228" ht="6" hidden="1" customHeight="1" x14ac:dyDescent="0.35"/>
    <row r="1229" ht="6" hidden="1" customHeight="1" x14ac:dyDescent="0.35"/>
    <row r="1230" ht="6" hidden="1" customHeight="1" x14ac:dyDescent="0.35"/>
    <row r="1231" ht="6" hidden="1" customHeight="1" x14ac:dyDescent="0.35"/>
    <row r="1232" ht="6" hidden="1" customHeight="1" x14ac:dyDescent="0.35"/>
    <row r="1233" ht="6" hidden="1" customHeight="1" x14ac:dyDescent="0.35"/>
    <row r="1234" ht="6" hidden="1" customHeight="1" x14ac:dyDescent="0.35"/>
    <row r="1235" ht="6" hidden="1" customHeight="1" x14ac:dyDescent="0.35"/>
    <row r="1236" ht="6" hidden="1" customHeight="1" x14ac:dyDescent="0.35"/>
    <row r="1237" ht="6" hidden="1" customHeight="1" x14ac:dyDescent="0.35"/>
    <row r="1238" ht="6" hidden="1" customHeight="1" x14ac:dyDescent="0.35"/>
    <row r="1239" ht="6" hidden="1" customHeight="1" x14ac:dyDescent="0.35"/>
    <row r="1240" ht="6" hidden="1" customHeight="1" x14ac:dyDescent="0.35"/>
    <row r="1241" ht="6" hidden="1" customHeight="1" x14ac:dyDescent="0.35"/>
    <row r="1242" ht="6" hidden="1" customHeight="1" x14ac:dyDescent="0.35"/>
    <row r="1243" ht="6" hidden="1" customHeight="1" x14ac:dyDescent="0.35"/>
    <row r="1244" ht="6" hidden="1" customHeight="1" x14ac:dyDescent="0.35"/>
    <row r="1245" ht="6" hidden="1" customHeight="1" x14ac:dyDescent="0.35"/>
    <row r="1246" ht="6" hidden="1" customHeight="1" x14ac:dyDescent="0.35"/>
    <row r="1247" ht="6" hidden="1" customHeight="1" x14ac:dyDescent="0.35"/>
    <row r="1248" ht="6" hidden="1" customHeight="1" x14ac:dyDescent="0.35"/>
    <row r="1249" ht="6" hidden="1" customHeight="1" x14ac:dyDescent="0.35"/>
    <row r="1250" ht="6" hidden="1" customHeight="1" x14ac:dyDescent="0.35"/>
    <row r="1251" ht="6" hidden="1" customHeight="1" x14ac:dyDescent="0.35"/>
    <row r="1252" ht="6" hidden="1" customHeight="1" x14ac:dyDescent="0.35"/>
    <row r="1253" ht="6" hidden="1" customHeight="1" x14ac:dyDescent="0.35"/>
    <row r="1254" ht="6" hidden="1" customHeight="1" x14ac:dyDescent="0.35"/>
    <row r="1255" ht="6" hidden="1" customHeight="1" x14ac:dyDescent="0.35"/>
    <row r="1256" ht="6" hidden="1" customHeight="1" x14ac:dyDescent="0.35"/>
    <row r="1257" ht="6" hidden="1" customHeight="1" x14ac:dyDescent="0.35"/>
    <row r="1258" ht="6" hidden="1" customHeight="1" x14ac:dyDescent="0.35"/>
    <row r="1259" ht="6" hidden="1" customHeight="1" x14ac:dyDescent="0.35"/>
    <row r="1260" ht="6" hidden="1" customHeight="1" x14ac:dyDescent="0.35"/>
    <row r="1261" ht="6" hidden="1" customHeight="1" x14ac:dyDescent="0.35"/>
    <row r="1262" ht="6" hidden="1" customHeight="1" x14ac:dyDescent="0.35"/>
    <row r="1263" ht="6" hidden="1" customHeight="1" x14ac:dyDescent="0.35"/>
    <row r="1264" ht="6" hidden="1" customHeight="1" x14ac:dyDescent="0.35"/>
    <row r="1265" ht="6" hidden="1" customHeight="1" x14ac:dyDescent="0.35"/>
    <row r="1266" ht="6" hidden="1" customHeight="1" x14ac:dyDescent="0.35"/>
    <row r="1267" ht="6" hidden="1" customHeight="1" x14ac:dyDescent="0.35"/>
    <row r="1268" ht="6" hidden="1" customHeight="1" x14ac:dyDescent="0.35"/>
    <row r="1269" ht="6" hidden="1" customHeight="1" x14ac:dyDescent="0.35"/>
    <row r="1270" ht="6" hidden="1" customHeight="1" x14ac:dyDescent="0.35"/>
    <row r="1271" ht="6" hidden="1" customHeight="1" x14ac:dyDescent="0.35"/>
    <row r="1272" ht="6" hidden="1" customHeight="1" x14ac:dyDescent="0.35"/>
    <row r="1273" ht="6" hidden="1" customHeight="1" x14ac:dyDescent="0.35"/>
    <row r="1274" ht="6" hidden="1" customHeight="1" x14ac:dyDescent="0.35"/>
    <row r="1275" ht="6" hidden="1" customHeight="1" x14ac:dyDescent="0.35"/>
    <row r="1276" ht="6" hidden="1" customHeight="1" x14ac:dyDescent="0.35"/>
    <row r="1277" ht="6" hidden="1" customHeight="1" x14ac:dyDescent="0.35"/>
    <row r="1278" ht="6" hidden="1" customHeight="1" x14ac:dyDescent="0.35"/>
    <row r="1279" ht="6" hidden="1" customHeight="1" x14ac:dyDescent="0.35"/>
    <row r="1280" ht="6" hidden="1" customHeight="1" x14ac:dyDescent="0.35"/>
    <row r="1281" ht="6" hidden="1" customHeight="1" x14ac:dyDescent="0.35"/>
    <row r="1282" ht="6" hidden="1" customHeight="1" x14ac:dyDescent="0.35"/>
    <row r="1283" ht="6" hidden="1" customHeight="1" x14ac:dyDescent="0.35"/>
    <row r="1284" ht="6" hidden="1" customHeight="1" x14ac:dyDescent="0.35"/>
    <row r="1285" ht="6" hidden="1" customHeight="1" x14ac:dyDescent="0.35"/>
    <row r="1286" ht="6" hidden="1" customHeight="1" x14ac:dyDescent="0.35"/>
    <row r="1287" ht="6" hidden="1" customHeight="1" x14ac:dyDescent="0.35"/>
    <row r="1288" ht="6" hidden="1" customHeight="1" x14ac:dyDescent="0.35"/>
    <row r="1289" ht="6" hidden="1" customHeight="1" x14ac:dyDescent="0.35"/>
    <row r="1290" ht="6" hidden="1" customHeight="1" x14ac:dyDescent="0.35"/>
    <row r="1291" ht="6" hidden="1" customHeight="1" x14ac:dyDescent="0.35"/>
    <row r="1292" ht="6" hidden="1" customHeight="1" x14ac:dyDescent="0.35"/>
    <row r="1293" ht="6" hidden="1" customHeight="1" x14ac:dyDescent="0.35"/>
    <row r="1294" ht="6" hidden="1" customHeight="1" x14ac:dyDescent="0.35"/>
    <row r="1295" ht="6" hidden="1" customHeight="1" x14ac:dyDescent="0.35"/>
    <row r="1296" ht="6" hidden="1" customHeight="1" x14ac:dyDescent="0.35"/>
    <row r="1297" ht="6" hidden="1" customHeight="1" x14ac:dyDescent="0.35"/>
    <row r="1298" ht="6" hidden="1" customHeight="1" x14ac:dyDescent="0.35"/>
    <row r="1299" ht="6" hidden="1" customHeight="1" x14ac:dyDescent="0.35"/>
    <row r="1300" ht="6" hidden="1" customHeight="1" x14ac:dyDescent="0.35"/>
    <row r="1301" ht="6" hidden="1" customHeight="1" x14ac:dyDescent="0.35"/>
    <row r="1302" ht="6" hidden="1" customHeight="1" x14ac:dyDescent="0.35"/>
    <row r="1303" ht="6" hidden="1" customHeight="1" x14ac:dyDescent="0.35"/>
    <row r="1304" ht="6" hidden="1" customHeight="1" x14ac:dyDescent="0.35"/>
    <row r="1305" ht="6" hidden="1" customHeight="1" x14ac:dyDescent="0.35"/>
    <row r="1306" ht="6" hidden="1" customHeight="1" x14ac:dyDescent="0.35"/>
    <row r="1307" ht="6" hidden="1" customHeight="1" x14ac:dyDescent="0.35"/>
    <row r="1308" ht="6" hidden="1" customHeight="1" x14ac:dyDescent="0.35"/>
    <row r="1309" ht="6" hidden="1" customHeight="1" x14ac:dyDescent="0.35"/>
    <row r="1310" ht="6" hidden="1" customHeight="1" x14ac:dyDescent="0.35"/>
    <row r="1311" ht="6" hidden="1" customHeight="1" x14ac:dyDescent="0.35"/>
    <row r="1312" ht="6" hidden="1" customHeight="1" x14ac:dyDescent="0.35"/>
    <row r="1313" ht="6" hidden="1" customHeight="1" x14ac:dyDescent="0.35"/>
    <row r="1314" ht="6" hidden="1" customHeight="1" x14ac:dyDescent="0.35"/>
    <row r="1315" ht="6" hidden="1" customHeight="1" x14ac:dyDescent="0.35"/>
    <row r="1316" ht="6" hidden="1" customHeight="1" x14ac:dyDescent="0.35"/>
    <row r="1317" ht="6" hidden="1" customHeight="1" x14ac:dyDescent="0.35"/>
    <row r="1318" ht="6" hidden="1" customHeight="1" x14ac:dyDescent="0.35"/>
    <row r="1319" ht="6" hidden="1" customHeight="1" x14ac:dyDescent="0.35"/>
    <row r="1320" ht="6" hidden="1" customHeight="1" x14ac:dyDescent="0.35"/>
    <row r="1321" ht="6" hidden="1" customHeight="1" x14ac:dyDescent="0.35"/>
    <row r="1322" ht="6" hidden="1" customHeight="1" x14ac:dyDescent="0.35"/>
    <row r="1323" ht="6" hidden="1" customHeight="1" x14ac:dyDescent="0.35"/>
    <row r="1324" ht="6" hidden="1" customHeight="1" x14ac:dyDescent="0.35"/>
    <row r="1325" ht="6" hidden="1" customHeight="1" x14ac:dyDescent="0.35"/>
    <row r="1326" ht="6" hidden="1" customHeight="1" x14ac:dyDescent="0.35"/>
    <row r="1327" ht="6" hidden="1" customHeight="1" x14ac:dyDescent="0.35"/>
    <row r="1328" ht="6" hidden="1" customHeight="1" x14ac:dyDescent="0.35"/>
    <row r="1329" ht="6" hidden="1" customHeight="1" x14ac:dyDescent="0.35"/>
    <row r="1330" ht="6" hidden="1" customHeight="1" x14ac:dyDescent="0.35"/>
    <row r="1331" ht="6" hidden="1" customHeight="1" x14ac:dyDescent="0.35"/>
    <row r="1332" ht="6" hidden="1" customHeight="1" x14ac:dyDescent="0.35"/>
    <row r="1333" ht="6" hidden="1" customHeight="1" x14ac:dyDescent="0.35"/>
    <row r="1334" ht="6" hidden="1" customHeight="1" x14ac:dyDescent="0.35"/>
    <row r="1335" ht="6" hidden="1" customHeight="1" x14ac:dyDescent="0.35"/>
    <row r="1336" ht="6" hidden="1" customHeight="1" x14ac:dyDescent="0.35"/>
    <row r="1337" ht="6" hidden="1" customHeight="1" x14ac:dyDescent="0.35"/>
    <row r="1338" ht="6" hidden="1" customHeight="1" x14ac:dyDescent="0.35"/>
    <row r="1339" ht="6" hidden="1" customHeight="1" x14ac:dyDescent="0.35"/>
    <row r="1340" ht="6" hidden="1" customHeight="1" x14ac:dyDescent="0.35"/>
    <row r="1341" ht="6" hidden="1" customHeight="1" x14ac:dyDescent="0.35"/>
    <row r="1342" ht="6" hidden="1" customHeight="1" x14ac:dyDescent="0.35"/>
    <row r="1343" ht="6" hidden="1" customHeight="1" x14ac:dyDescent="0.35"/>
    <row r="1344" ht="6" hidden="1" customHeight="1" x14ac:dyDescent="0.35"/>
    <row r="1345" ht="6" hidden="1" customHeight="1" x14ac:dyDescent="0.35"/>
    <row r="1346" ht="6" hidden="1" customHeight="1" x14ac:dyDescent="0.35"/>
    <row r="1347" ht="6" hidden="1" customHeight="1" x14ac:dyDescent="0.35"/>
    <row r="1348" ht="6" hidden="1" customHeight="1" x14ac:dyDescent="0.35"/>
    <row r="1349" ht="6" hidden="1" customHeight="1" x14ac:dyDescent="0.35"/>
    <row r="1350" ht="6" hidden="1" customHeight="1" x14ac:dyDescent="0.35"/>
    <row r="1351" ht="6" hidden="1" customHeight="1" x14ac:dyDescent="0.35"/>
    <row r="1352" ht="6" hidden="1" customHeight="1" x14ac:dyDescent="0.35"/>
    <row r="1353" ht="6" hidden="1" customHeight="1" x14ac:dyDescent="0.35"/>
    <row r="1354" ht="6" hidden="1" customHeight="1" x14ac:dyDescent="0.35"/>
    <row r="1355" ht="6" hidden="1" customHeight="1" x14ac:dyDescent="0.35"/>
    <row r="1356" ht="6" hidden="1" customHeight="1" x14ac:dyDescent="0.35"/>
    <row r="1357" ht="6" hidden="1" customHeight="1" x14ac:dyDescent="0.35"/>
    <row r="1358" ht="6" hidden="1" customHeight="1" x14ac:dyDescent="0.35"/>
    <row r="1359" ht="6" hidden="1" customHeight="1" x14ac:dyDescent="0.35"/>
    <row r="1360" ht="6" hidden="1" customHeight="1" x14ac:dyDescent="0.35"/>
    <row r="1361" ht="6" hidden="1" customHeight="1" x14ac:dyDescent="0.35"/>
    <row r="1362" ht="6" hidden="1" customHeight="1" x14ac:dyDescent="0.35"/>
    <row r="1363" ht="6" hidden="1" customHeight="1" x14ac:dyDescent="0.35"/>
    <row r="1364" ht="6" hidden="1" customHeight="1" x14ac:dyDescent="0.35"/>
    <row r="1365" ht="6" hidden="1" customHeight="1" x14ac:dyDescent="0.35"/>
    <row r="1366" ht="6" hidden="1" customHeight="1" x14ac:dyDescent="0.35"/>
    <row r="1367" ht="6" hidden="1" customHeight="1" x14ac:dyDescent="0.35"/>
    <row r="1368" ht="6" hidden="1" customHeight="1" x14ac:dyDescent="0.35"/>
    <row r="1369" ht="6" hidden="1" customHeight="1" x14ac:dyDescent="0.35"/>
    <row r="1370" ht="6" hidden="1" customHeight="1" x14ac:dyDescent="0.35"/>
    <row r="1371" ht="6" hidden="1" customHeight="1" x14ac:dyDescent="0.35"/>
    <row r="1372" ht="6" hidden="1" customHeight="1" x14ac:dyDescent="0.35"/>
    <row r="1373" ht="6" hidden="1" customHeight="1" x14ac:dyDescent="0.35"/>
    <row r="1374" ht="6" hidden="1" customHeight="1" x14ac:dyDescent="0.35"/>
    <row r="1375" ht="6" hidden="1" customHeight="1" x14ac:dyDescent="0.35"/>
    <row r="1376" ht="6" hidden="1" customHeight="1" x14ac:dyDescent="0.35"/>
    <row r="1377" ht="6" hidden="1" customHeight="1" x14ac:dyDescent="0.35"/>
    <row r="1378" ht="6" hidden="1" customHeight="1" x14ac:dyDescent="0.35"/>
    <row r="1379" ht="6" hidden="1" customHeight="1" x14ac:dyDescent="0.35"/>
    <row r="1380" ht="6" hidden="1" customHeight="1" x14ac:dyDescent="0.35"/>
    <row r="1381" ht="6" hidden="1" customHeight="1" x14ac:dyDescent="0.35"/>
    <row r="1382" ht="6" hidden="1" customHeight="1" x14ac:dyDescent="0.35"/>
    <row r="1383" ht="6" hidden="1" customHeight="1" x14ac:dyDescent="0.35"/>
    <row r="1384" ht="6" hidden="1" customHeight="1" x14ac:dyDescent="0.35"/>
    <row r="1385" ht="6" hidden="1" customHeight="1" x14ac:dyDescent="0.35"/>
    <row r="1386" ht="6" hidden="1" customHeight="1" x14ac:dyDescent="0.35"/>
    <row r="1387" ht="6" hidden="1" customHeight="1" x14ac:dyDescent="0.35"/>
    <row r="1388" ht="6" hidden="1" customHeight="1" x14ac:dyDescent="0.35"/>
    <row r="1389" ht="6" hidden="1" customHeight="1" x14ac:dyDescent="0.35"/>
    <row r="1390" ht="6" hidden="1" customHeight="1" x14ac:dyDescent="0.35"/>
    <row r="1391" ht="6" hidden="1" customHeight="1" x14ac:dyDescent="0.35"/>
    <row r="1392" ht="6" hidden="1" customHeight="1" x14ac:dyDescent="0.35"/>
    <row r="1393" ht="6" hidden="1" customHeight="1" x14ac:dyDescent="0.35"/>
    <row r="1394" ht="6" hidden="1" customHeight="1" x14ac:dyDescent="0.35"/>
    <row r="1395" ht="6" hidden="1" customHeight="1" x14ac:dyDescent="0.35"/>
    <row r="1396" ht="6" hidden="1" customHeight="1" x14ac:dyDescent="0.35"/>
    <row r="1397" ht="6" hidden="1" customHeight="1" x14ac:dyDescent="0.35"/>
    <row r="1398" ht="6" hidden="1" customHeight="1" x14ac:dyDescent="0.35"/>
    <row r="1399" ht="6" hidden="1" customHeight="1" x14ac:dyDescent="0.35"/>
    <row r="1400" ht="6" hidden="1" customHeight="1" x14ac:dyDescent="0.35"/>
    <row r="1401" ht="6" hidden="1" customHeight="1" x14ac:dyDescent="0.35"/>
    <row r="1402" ht="6" hidden="1" customHeight="1" x14ac:dyDescent="0.35"/>
    <row r="1403" ht="6" hidden="1" customHeight="1" x14ac:dyDescent="0.35"/>
    <row r="1404" ht="6" hidden="1" customHeight="1" x14ac:dyDescent="0.35"/>
    <row r="1405" ht="6" hidden="1" customHeight="1" x14ac:dyDescent="0.35"/>
    <row r="1406" ht="6" hidden="1" customHeight="1" x14ac:dyDescent="0.35"/>
    <row r="1407" ht="6" hidden="1" customHeight="1" x14ac:dyDescent="0.35"/>
    <row r="1408" ht="6" hidden="1" customHeight="1" x14ac:dyDescent="0.35"/>
    <row r="1409" ht="6" hidden="1" customHeight="1" x14ac:dyDescent="0.35"/>
    <row r="1410" ht="6" hidden="1" customHeight="1" x14ac:dyDescent="0.35"/>
    <row r="1411" ht="6" hidden="1" customHeight="1" x14ac:dyDescent="0.35"/>
    <row r="1412" ht="6" hidden="1" customHeight="1" x14ac:dyDescent="0.35"/>
    <row r="1413" ht="6" hidden="1" customHeight="1" x14ac:dyDescent="0.35"/>
    <row r="1414" ht="6" hidden="1" customHeight="1" x14ac:dyDescent="0.35"/>
    <row r="1415" ht="6" hidden="1" customHeight="1" x14ac:dyDescent="0.35"/>
    <row r="1416" ht="6" hidden="1" customHeight="1" x14ac:dyDescent="0.35"/>
    <row r="1417" ht="6" hidden="1" customHeight="1" x14ac:dyDescent="0.35"/>
    <row r="1418" ht="6" hidden="1" customHeight="1" x14ac:dyDescent="0.35"/>
    <row r="1419" ht="6" hidden="1" customHeight="1" x14ac:dyDescent="0.35"/>
    <row r="1420" ht="6" hidden="1" customHeight="1" x14ac:dyDescent="0.35"/>
    <row r="1421" ht="6" hidden="1" customHeight="1" x14ac:dyDescent="0.35"/>
    <row r="1422" ht="6" hidden="1" customHeight="1" x14ac:dyDescent="0.35"/>
    <row r="1423" ht="6" hidden="1" customHeight="1" x14ac:dyDescent="0.35"/>
    <row r="1424" ht="6" hidden="1" customHeight="1" x14ac:dyDescent="0.35"/>
    <row r="1425" ht="6" hidden="1" customHeight="1" x14ac:dyDescent="0.35"/>
    <row r="1426" ht="6" hidden="1" customHeight="1" x14ac:dyDescent="0.35"/>
    <row r="1427" ht="6" hidden="1" customHeight="1" x14ac:dyDescent="0.35"/>
    <row r="1428" ht="6" hidden="1" customHeight="1" x14ac:dyDescent="0.35"/>
    <row r="1429" ht="6" hidden="1" customHeight="1" x14ac:dyDescent="0.35"/>
    <row r="1430" ht="6" hidden="1" customHeight="1" x14ac:dyDescent="0.35"/>
    <row r="1431" ht="6" hidden="1" customHeight="1" x14ac:dyDescent="0.35"/>
    <row r="1432" ht="6" hidden="1" customHeight="1" x14ac:dyDescent="0.35"/>
    <row r="1433" ht="6" hidden="1" customHeight="1" x14ac:dyDescent="0.35"/>
    <row r="1434" ht="6" hidden="1" customHeight="1" x14ac:dyDescent="0.35"/>
    <row r="1435" ht="6" hidden="1" customHeight="1" x14ac:dyDescent="0.35"/>
    <row r="1436" ht="6" hidden="1" customHeight="1" x14ac:dyDescent="0.35"/>
    <row r="1437" ht="6" hidden="1" customHeight="1" x14ac:dyDescent="0.35"/>
    <row r="1438" ht="6" hidden="1" customHeight="1" x14ac:dyDescent="0.35"/>
    <row r="1439" ht="6" hidden="1" customHeight="1" x14ac:dyDescent="0.35"/>
    <row r="1440" ht="6" hidden="1" customHeight="1" x14ac:dyDescent="0.35"/>
    <row r="1441" ht="6" hidden="1" customHeight="1" x14ac:dyDescent="0.35"/>
    <row r="1442" ht="6" hidden="1" customHeight="1" x14ac:dyDescent="0.35"/>
    <row r="1443" ht="6" hidden="1" customHeight="1" x14ac:dyDescent="0.35"/>
    <row r="1444" ht="6" hidden="1" customHeight="1" x14ac:dyDescent="0.35"/>
    <row r="1445" ht="6" hidden="1" customHeight="1" x14ac:dyDescent="0.35"/>
    <row r="1446" ht="6" hidden="1" customHeight="1" x14ac:dyDescent="0.35"/>
    <row r="1447" ht="6" hidden="1" customHeight="1" x14ac:dyDescent="0.35"/>
    <row r="1448" ht="6" hidden="1" customHeight="1" x14ac:dyDescent="0.35"/>
    <row r="1449" ht="6" hidden="1" customHeight="1" x14ac:dyDescent="0.35"/>
    <row r="1450" ht="6" hidden="1" customHeight="1" x14ac:dyDescent="0.35"/>
    <row r="1451" ht="6" hidden="1" customHeight="1" x14ac:dyDescent="0.35"/>
    <row r="1452" ht="6" hidden="1" customHeight="1" x14ac:dyDescent="0.35"/>
    <row r="1453" ht="6" hidden="1" customHeight="1" x14ac:dyDescent="0.35"/>
    <row r="1454" ht="6" hidden="1" customHeight="1" x14ac:dyDescent="0.35"/>
    <row r="1455" ht="6" hidden="1" customHeight="1" x14ac:dyDescent="0.35"/>
    <row r="1456" ht="6" hidden="1" customHeight="1" x14ac:dyDescent="0.35"/>
    <row r="1457" ht="6" hidden="1" customHeight="1" x14ac:dyDescent="0.35"/>
    <row r="1458" ht="6" hidden="1" customHeight="1" x14ac:dyDescent="0.35"/>
    <row r="1459" ht="6" hidden="1" customHeight="1" x14ac:dyDescent="0.35"/>
    <row r="1460" ht="6" hidden="1" customHeight="1" x14ac:dyDescent="0.35"/>
    <row r="1461" ht="6" hidden="1" customHeight="1" x14ac:dyDescent="0.35"/>
    <row r="1462" ht="6" hidden="1" customHeight="1" x14ac:dyDescent="0.35"/>
    <row r="1463" ht="6" hidden="1" customHeight="1" x14ac:dyDescent="0.35"/>
    <row r="1464" ht="6" hidden="1" customHeight="1" x14ac:dyDescent="0.35"/>
    <row r="1465" ht="6" hidden="1" customHeight="1" x14ac:dyDescent="0.35"/>
    <row r="1466" ht="6" hidden="1" customHeight="1" x14ac:dyDescent="0.35"/>
    <row r="1467" ht="6" hidden="1" customHeight="1" x14ac:dyDescent="0.35"/>
    <row r="1468" ht="6" hidden="1" customHeight="1" x14ac:dyDescent="0.35"/>
    <row r="1469" ht="6" hidden="1" customHeight="1" x14ac:dyDescent="0.35"/>
    <row r="1470" ht="6" hidden="1" customHeight="1" x14ac:dyDescent="0.35"/>
    <row r="1471" ht="6" hidden="1" customHeight="1" x14ac:dyDescent="0.35"/>
    <row r="1472" ht="6" hidden="1" customHeight="1" x14ac:dyDescent="0.35"/>
    <row r="1473" ht="6" hidden="1" customHeight="1" x14ac:dyDescent="0.35"/>
    <row r="1474" ht="6" hidden="1" customHeight="1" x14ac:dyDescent="0.35"/>
    <row r="1475" ht="6" hidden="1" customHeight="1" x14ac:dyDescent="0.35"/>
    <row r="1476" ht="6" hidden="1" customHeight="1" x14ac:dyDescent="0.35"/>
    <row r="1477" ht="6" hidden="1" customHeight="1" x14ac:dyDescent="0.35"/>
    <row r="1478" ht="6" hidden="1" customHeight="1" x14ac:dyDescent="0.35"/>
    <row r="1479" ht="6" hidden="1" customHeight="1" x14ac:dyDescent="0.35"/>
    <row r="1480" ht="6" hidden="1" customHeight="1" x14ac:dyDescent="0.35"/>
    <row r="1481" ht="6" hidden="1" customHeight="1" x14ac:dyDescent="0.35"/>
    <row r="1482" ht="6" hidden="1" customHeight="1" x14ac:dyDescent="0.35"/>
    <row r="1483" ht="6" hidden="1" customHeight="1" x14ac:dyDescent="0.35"/>
    <row r="1484" ht="6" hidden="1" customHeight="1" x14ac:dyDescent="0.35"/>
    <row r="1485" ht="6" hidden="1" customHeight="1" x14ac:dyDescent="0.35"/>
    <row r="1486" ht="6" hidden="1" customHeight="1" x14ac:dyDescent="0.35"/>
    <row r="1487" ht="6" hidden="1" customHeight="1" x14ac:dyDescent="0.35"/>
    <row r="1488" ht="6" hidden="1" customHeight="1" x14ac:dyDescent="0.35"/>
    <row r="1489" ht="6" hidden="1" customHeight="1" x14ac:dyDescent="0.35"/>
    <row r="1490" ht="6" hidden="1" customHeight="1" x14ac:dyDescent="0.35"/>
    <row r="1491" ht="6" hidden="1" customHeight="1" x14ac:dyDescent="0.35"/>
    <row r="1492" ht="6" hidden="1" customHeight="1" x14ac:dyDescent="0.35"/>
    <row r="1493" ht="6" hidden="1" customHeight="1" x14ac:dyDescent="0.35"/>
    <row r="1494" ht="6" hidden="1" customHeight="1" x14ac:dyDescent="0.35"/>
    <row r="1495" ht="6" hidden="1" customHeight="1" x14ac:dyDescent="0.35"/>
    <row r="1496" ht="6" hidden="1" customHeight="1" x14ac:dyDescent="0.35"/>
    <row r="1497" ht="6" hidden="1" customHeight="1" x14ac:dyDescent="0.35"/>
    <row r="1498" ht="6" hidden="1" customHeight="1" x14ac:dyDescent="0.35"/>
    <row r="1499" ht="6" hidden="1" customHeight="1" x14ac:dyDescent="0.35"/>
    <row r="1500" ht="6" hidden="1" customHeight="1" x14ac:dyDescent="0.35"/>
    <row r="1501" ht="6" hidden="1" customHeight="1" x14ac:dyDescent="0.35"/>
    <row r="1502" ht="6" hidden="1" customHeight="1" x14ac:dyDescent="0.35"/>
    <row r="1503" ht="6" hidden="1" customHeight="1" x14ac:dyDescent="0.35"/>
    <row r="1504" ht="6" hidden="1" customHeight="1" x14ac:dyDescent="0.35"/>
    <row r="1505" ht="6" hidden="1" customHeight="1" x14ac:dyDescent="0.35"/>
    <row r="1506" ht="6" hidden="1" customHeight="1" x14ac:dyDescent="0.35"/>
    <row r="1507" ht="6" hidden="1" customHeight="1" x14ac:dyDescent="0.35"/>
    <row r="1508" ht="6" hidden="1" customHeight="1" x14ac:dyDescent="0.35"/>
    <row r="1509" ht="6" hidden="1" customHeight="1" x14ac:dyDescent="0.35"/>
    <row r="1510" ht="6" hidden="1" customHeight="1" x14ac:dyDescent="0.35"/>
    <row r="1511" ht="6" hidden="1" customHeight="1" x14ac:dyDescent="0.35"/>
    <row r="1512" ht="6" hidden="1" customHeight="1" x14ac:dyDescent="0.35"/>
    <row r="1513" ht="6" hidden="1" customHeight="1" x14ac:dyDescent="0.35"/>
    <row r="1514" ht="6" hidden="1" customHeight="1" x14ac:dyDescent="0.35"/>
    <row r="1515" ht="6" hidden="1" customHeight="1" x14ac:dyDescent="0.35"/>
    <row r="1516" ht="6" hidden="1" customHeight="1" x14ac:dyDescent="0.35"/>
    <row r="1517" ht="6" hidden="1" customHeight="1" x14ac:dyDescent="0.35"/>
    <row r="1518" ht="6" hidden="1" customHeight="1" x14ac:dyDescent="0.35"/>
    <row r="1519" ht="6" hidden="1" customHeight="1" x14ac:dyDescent="0.35"/>
    <row r="1520" ht="6" hidden="1" customHeight="1" x14ac:dyDescent="0.35"/>
    <row r="1521" ht="6" hidden="1" customHeight="1" x14ac:dyDescent="0.35"/>
    <row r="1522" ht="6" hidden="1" customHeight="1" x14ac:dyDescent="0.35"/>
    <row r="1523" ht="6" hidden="1" customHeight="1" x14ac:dyDescent="0.35"/>
    <row r="1524" ht="6" hidden="1" customHeight="1" x14ac:dyDescent="0.35"/>
    <row r="1525" ht="6" hidden="1" customHeight="1" x14ac:dyDescent="0.35"/>
    <row r="1526" ht="6" hidden="1" customHeight="1" x14ac:dyDescent="0.35"/>
    <row r="1527" ht="6" hidden="1" customHeight="1" x14ac:dyDescent="0.35"/>
    <row r="1528" ht="6" hidden="1" customHeight="1" x14ac:dyDescent="0.35"/>
    <row r="1529" ht="6" hidden="1" customHeight="1" x14ac:dyDescent="0.35"/>
    <row r="1530" ht="6" hidden="1" customHeight="1" x14ac:dyDescent="0.35"/>
    <row r="1531" ht="6" hidden="1" customHeight="1" x14ac:dyDescent="0.35"/>
    <row r="1532" ht="6" hidden="1" customHeight="1" x14ac:dyDescent="0.35"/>
    <row r="1533" ht="6" hidden="1" customHeight="1" x14ac:dyDescent="0.35"/>
    <row r="1534" ht="6" hidden="1" customHeight="1" x14ac:dyDescent="0.35"/>
    <row r="1535" ht="6" hidden="1" customHeight="1" x14ac:dyDescent="0.35"/>
    <row r="1536" ht="6" hidden="1" customHeight="1" x14ac:dyDescent="0.35"/>
    <row r="1537" ht="6" hidden="1" customHeight="1" x14ac:dyDescent="0.35"/>
    <row r="1538" ht="6" hidden="1" customHeight="1" x14ac:dyDescent="0.35"/>
    <row r="1539" ht="6" hidden="1" customHeight="1" x14ac:dyDescent="0.35"/>
    <row r="1540" ht="6" hidden="1" customHeight="1" x14ac:dyDescent="0.35"/>
    <row r="1541" ht="6" hidden="1" customHeight="1" x14ac:dyDescent="0.35"/>
    <row r="1542" ht="6" hidden="1" customHeight="1" x14ac:dyDescent="0.35"/>
    <row r="1543" ht="6" hidden="1" customHeight="1" x14ac:dyDescent="0.35"/>
    <row r="1544" ht="6" hidden="1" customHeight="1" x14ac:dyDescent="0.35"/>
    <row r="1545" ht="6" hidden="1" customHeight="1" x14ac:dyDescent="0.35"/>
    <row r="1546" ht="6" hidden="1" customHeight="1" x14ac:dyDescent="0.35"/>
    <row r="1547" ht="6" hidden="1" customHeight="1" x14ac:dyDescent="0.35"/>
    <row r="1548" ht="6" hidden="1" customHeight="1" x14ac:dyDescent="0.35"/>
    <row r="1549" ht="6" hidden="1" customHeight="1" x14ac:dyDescent="0.35"/>
    <row r="1550" ht="6" hidden="1" customHeight="1" x14ac:dyDescent="0.35"/>
    <row r="1551" ht="6" hidden="1" customHeight="1" x14ac:dyDescent="0.35"/>
    <row r="1552" ht="6" hidden="1" customHeight="1" x14ac:dyDescent="0.35"/>
    <row r="1553" ht="6" hidden="1" customHeight="1" x14ac:dyDescent="0.35"/>
    <row r="1554" ht="6" hidden="1" customHeight="1" x14ac:dyDescent="0.35"/>
    <row r="1555" ht="6" hidden="1" customHeight="1" x14ac:dyDescent="0.35"/>
    <row r="1556" ht="6" hidden="1" customHeight="1" x14ac:dyDescent="0.35"/>
    <row r="1557" ht="6" hidden="1" customHeight="1" x14ac:dyDescent="0.35"/>
    <row r="1558" ht="6" hidden="1" customHeight="1" x14ac:dyDescent="0.35"/>
    <row r="1559" ht="6" hidden="1" customHeight="1" x14ac:dyDescent="0.35"/>
    <row r="1560" ht="6" hidden="1" customHeight="1" x14ac:dyDescent="0.35"/>
    <row r="1561" ht="6" hidden="1" customHeight="1" x14ac:dyDescent="0.35"/>
    <row r="1562" ht="6" hidden="1" customHeight="1" x14ac:dyDescent="0.35"/>
    <row r="1563" ht="6" hidden="1" customHeight="1" x14ac:dyDescent="0.35"/>
    <row r="1564" ht="6" hidden="1" customHeight="1" x14ac:dyDescent="0.35"/>
    <row r="1565" ht="6" hidden="1" customHeight="1" x14ac:dyDescent="0.35"/>
    <row r="1566" ht="6" hidden="1" customHeight="1" x14ac:dyDescent="0.35"/>
    <row r="1567" ht="6" hidden="1" customHeight="1" x14ac:dyDescent="0.35"/>
    <row r="1568" ht="6" hidden="1" customHeight="1" x14ac:dyDescent="0.35"/>
    <row r="1569" ht="6" hidden="1" customHeight="1" x14ac:dyDescent="0.35"/>
    <row r="1570" ht="6" hidden="1" customHeight="1" x14ac:dyDescent="0.35"/>
    <row r="1571" ht="6" hidden="1" customHeight="1" x14ac:dyDescent="0.35"/>
    <row r="1572" ht="6" hidden="1" customHeight="1" x14ac:dyDescent="0.35"/>
    <row r="1573" ht="6" hidden="1" customHeight="1" x14ac:dyDescent="0.35"/>
    <row r="1574" ht="6" hidden="1" customHeight="1" x14ac:dyDescent="0.35"/>
    <row r="1575" ht="6" hidden="1" customHeight="1" x14ac:dyDescent="0.35"/>
    <row r="1576" ht="6" hidden="1" customHeight="1" x14ac:dyDescent="0.35"/>
    <row r="1577" ht="6" hidden="1" customHeight="1" x14ac:dyDescent="0.35"/>
    <row r="1578" ht="6" hidden="1" customHeight="1" x14ac:dyDescent="0.35"/>
    <row r="1579" ht="6" hidden="1" customHeight="1" x14ac:dyDescent="0.35"/>
    <row r="1580" ht="6" hidden="1" customHeight="1" x14ac:dyDescent="0.35"/>
    <row r="1581" ht="6" hidden="1" customHeight="1" x14ac:dyDescent="0.35"/>
    <row r="1582" ht="6" hidden="1" customHeight="1" x14ac:dyDescent="0.35"/>
    <row r="1583" ht="6" hidden="1" customHeight="1" x14ac:dyDescent="0.35"/>
    <row r="1584" ht="6" hidden="1" customHeight="1" x14ac:dyDescent="0.35"/>
    <row r="1585" ht="6" hidden="1" customHeight="1" x14ac:dyDescent="0.35"/>
    <row r="1586" ht="6" hidden="1" customHeight="1" x14ac:dyDescent="0.35"/>
    <row r="1587" ht="6" hidden="1" customHeight="1" x14ac:dyDescent="0.35"/>
    <row r="1588" ht="6" hidden="1" customHeight="1" x14ac:dyDescent="0.35"/>
    <row r="1589" ht="6" hidden="1" customHeight="1" x14ac:dyDescent="0.35"/>
    <row r="1590" ht="6" hidden="1" customHeight="1" x14ac:dyDescent="0.35"/>
    <row r="1591" ht="6" hidden="1" customHeight="1" x14ac:dyDescent="0.35"/>
    <row r="1592" ht="6" hidden="1" customHeight="1" x14ac:dyDescent="0.35"/>
    <row r="1593" ht="6" hidden="1" customHeight="1" x14ac:dyDescent="0.35"/>
    <row r="1594" ht="6" hidden="1" customHeight="1" x14ac:dyDescent="0.35"/>
    <row r="1595" ht="6" hidden="1" customHeight="1" x14ac:dyDescent="0.35"/>
    <row r="1596" ht="6" hidden="1" customHeight="1" x14ac:dyDescent="0.35"/>
    <row r="1597" ht="6" hidden="1" customHeight="1" x14ac:dyDescent="0.35"/>
    <row r="1598" ht="6" hidden="1" customHeight="1" x14ac:dyDescent="0.35"/>
    <row r="1599" ht="6" hidden="1" customHeight="1" x14ac:dyDescent="0.35"/>
    <row r="1600" ht="6" hidden="1" customHeight="1" x14ac:dyDescent="0.35"/>
    <row r="1601" ht="6" hidden="1" customHeight="1" x14ac:dyDescent="0.35"/>
    <row r="1602" ht="6" hidden="1" customHeight="1" x14ac:dyDescent="0.35"/>
    <row r="1603" ht="6" hidden="1" customHeight="1" x14ac:dyDescent="0.35"/>
    <row r="1604" ht="6" hidden="1" customHeight="1" x14ac:dyDescent="0.35"/>
    <row r="1605" ht="6" hidden="1" customHeight="1" x14ac:dyDescent="0.35"/>
    <row r="1606" ht="6" hidden="1" customHeight="1" x14ac:dyDescent="0.35"/>
    <row r="1607" ht="6" hidden="1" customHeight="1" x14ac:dyDescent="0.35"/>
    <row r="1608" ht="6" hidden="1" customHeight="1" x14ac:dyDescent="0.35"/>
    <row r="1609" ht="6" hidden="1" customHeight="1" x14ac:dyDescent="0.35"/>
    <row r="1610" ht="6" hidden="1" customHeight="1" x14ac:dyDescent="0.35"/>
    <row r="1611" ht="6" hidden="1" customHeight="1" x14ac:dyDescent="0.35"/>
    <row r="1612" ht="6" hidden="1" customHeight="1" x14ac:dyDescent="0.35"/>
    <row r="1613" ht="6" hidden="1" customHeight="1" x14ac:dyDescent="0.35"/>
    <row r="1614" ht="6" hidden="1" customHeight="1" x14ac:dyDescent="0.35"/>
    <row r="1615" ht="6" hidden="1" customHeight="1" x14ac:dyDescent="0.35"/>
    <row r="1616" ht="6" hidden="1" customHeight="1" x14ac:dyDescent="0.35"/>
    <row r="1617" ht="6" hidden="1" customHeight="1" x14ac:dyDescent="0.35"/>
    <row r="1618" ht="6" hidden="1" customHeight="1" x14ac:dyDescent="0.35"/>
    <row r="1619" ht="6" hidden="1" customHeight="1" x14ac:dyDescent="0.35"/>
    <row r="1620" ht="6" hidden="1" customHeight="1" x14ac:dyDescent="0.35"/>
    <row r="1621" ht="6" hidden="1" customHeight="1" x14ac:dyDescent="0.35"/>
    <row r="1622" ht="6" hidden="1" customHeight="1" x14ac:dyDescent="0.35"/>
    <row r="1623" ht="6" hidden="1" customHeight="1" x14ac:dyDescent="0.35"/>
    <row r="1624" ht="6" hidden="1" customHeight="1" x14ac:dyDescent="0.35"/>
    <row r="1625" ht="6" hidden="1" customHeight="1" x14ac:dyDescent="0.35"/>
    <row r="1626" ht="6" hidden="1" customHeight="1" x14ac:dyDescent="0.35"/>
    <row r="1627" ht="6" hidden="1" customHeight="1" x14ac:dyDescent="0.35"/>
    <row r="1628" ht="6" hidden="1" customHeight="1" x14ac:dyDescent="0.35"/>
    <row r="1629" ht="6" hidden="1" customHeight="1" x14ac:dyDescent="0.35"/>
    <row r="1630" ht="6" hidden="1" customHeight="1" x14ac:dyDescent="0.35"/>
    <row r="1631" ht="6" hidden="1" customHeight="1" x14ac:dyDescent="0.35"/>
    <row r="1632" ht="6" hidden="1" customHeight="1" x14ac:dyDescent="0.35"/>
    <row r="1633" ht="6" hidden="1" customHeight="1" x14ac:dyDescent="0.35"/>
    <row r="1634" ht="6" hidden="1" customHeight="1" x14ac:dyDescent="0.35"/>
    <row r="1635" ht="6" hidden="1" customHeight="1" x14ac:dyDescent="0.35"/>
    <row r="1636" ht="6" hidden="1" customHeight="1" x14ac:dyDescent="0.35"/>
    <row r="1637" ht="6" hidden="1" customHeight="1" x14ac:dyDescent="0.35"/>
    <row r="1638" ht="6" hidden="1" customHeight="1" x14ac:dyDescent="0.35"/>
    <row r="1639" ht="6" hidden="1" customHeight="1" x14ac:dyDescent="0.35"/>
    <row r="1640" ht="6" hidden="1" customHeight="1" x14ac:dyDescent="0.35"/>
    <row r="1641" ht="6" hidden="1" customHeight="1" x14ac:dyDescent="0.35"/>
    <row r="1642" ht="6" hidden="1" customHeight="1" x14ac:dyDescent="0.35"/>
    <row r="1643" ht="6" hidden="1" customHeight="1" x14ac:dyDescent="0.35"/>
    <row r="1644" ht="6" hidden="1" customHeight="1" x14ac:dyDescent="0.35"/>
    <row r="1645" ht="6" hidden="1" customHeight="1" x14ac:dyDescent="0.35"/>
    <row r="1646" ht="6" hidden="1" customHeight="1" x14ac:dyDescent="0.35"/>
    <row r="1647" ht="6" hidden="1" customHeight="1" x14ac:dyDescent="0.35"/>
    <row r="1648" ht="6" hidden="1" customHeight="1" x14ac:dyDescent="0.35"/>
    <row r="1649" ht="6" hidden="1" customHeight="1" x14ac:dyDescent="0.35"/>
    <row r="1650" ht="6" hidden="1" customHeight="1" x14ac:dyDescent="0.35"/>
    <row r="1651" ht="6" hidden="1" customHeight="1" x14ac:dyDescent="0.35"/>
    <row r="1652" ht="6" hidden="1" customHeight="1" x14ac:dyDescent="0.35"/>
    <row r="1653" ht="6" hidden="1" customHeight="1" x14ac:dyDescent="0.35"/>
    <row r="1654" ht="6" hidden="1" customHeight="1" x14ac:dyDescent="0.35"/>
    <row r="1655" ht="6" hidden="1" customHeight="1" x14ac:dyDescent="0.35"/>
    <row r="1656" ht="6" hidden="1" customHeight="1" x14ac:dyDescent="0.35"/>
    <row r="1657" ht="6" hidden="1" customHeight="1" x14ac:dyDescent="0.35"/>
    <row r="1658" ht="6" hidden="1" customHeight="1" x14ac:dyDescent="0.35"/>
    <row r="1659" ht="6" hidden="1" customHeight="1" x14ac:dyDescent="0.35"/>
    <row r="1660" ht="6" hidden="1" customHeight="1" x14ac:dyDescent="0.35"/>
    <row r="1661" ht="6" hidden="1" customHeight="1" x14ac:dyDescent="0.35"/>
    <row r="1662" ht="6" hidden="1" customHeight="1" x14ac:dyDescent="0.35"/>
    <row r="1663" ht="6" hidden="1" customHeight="1" x14ac:dyDescent="0.35"/>
    <row r="1664" ht="6" hidden="1" customHeight="1" x14ac:dyDescent="0.35"/>
    <row r="1665" ht="6" hidden="1" customHeight="1" x14ac:dyDescent="0.35"/>
    <row r="1666" ht="6" hidden="1" customHeight="1" x14ac:dyDescent="0.35"/>
    <row r="1667" ht="6" hidden="1" customHeight="1" x14ac:dyDescent="0.35"/>
    <row r="1668" ht="6" hidden="1" customHeight="1" x14ac:dyDescent="0.35"/>
    <row r="1669" ht="6" hidden="1" customHeight="1" x14ac:dyDescent="0.35"/>
    <row r="1670" ht="6" hidden="1" customHeight="1" x14ac:dyDescent="0.35"/>
    <row r="1671" ht="6" hidden="1" customHeight="1" x14ac:dyDescent="0.35"/>
    <row r="1672" ht="6" hidden="1" customHeight="1" x14ac:dyDescent="0.35"/>
    <row r="1673" ht="6" hidden="1" customHeight="1" x14ac:dyDescent="0.35"/>
    <row r="1674" ht="6" hidden="1" customHeight="1" x14ac:dyDescent="0.35"/>
    <row r="1675" ht="6" hidden="1" customHeight="1" x14ac:dyDescent="0.35"/>
    <row r="1676" ht="6" hidden="1" customHeight="1" x14ac:dyDescent="0.35"/>
    <row r="1677" ht="6" hidden="1" customHeight="1" x14ac:dyDescent="0.35"/>
    <row r="1678" ht="6" hidden="1" customHeight="1" x14ac:dyDescent="0.35"/>
    <row r="1679" ht="6" hidden="1" customHeight="1" x14ac:dyDescent="0.35"/>
    <row r="1680" ht="6" hidden="1" customHeight="1" x14ac:dyDescent="0.35"/>
    <row r="1681" ht="6" hidden="1" customHeight="1" x14ac:dyDescent="0.35"/>
    <row r="1682" ht="6" hidden="1" customHeight="1" x14ac:dyDescent="0.35"/>
    <row r="1683" ht="6" hidden="1" customHeight="1" x14ac:dyDescent="0.35"/>
    <row r="1684" ht="6" hidden="1" customHeight="1" x14ac:dyDescent="0.35"/>
    <row r="1685" ht="6" hidden="1" customHeight="1" x14ac:dyDescent="0.35"/>
    <row r="1686" ht="6" hidden="1" customHeight="1" x14ac:dyDescent="0.35"/>
    <row r="1687" ht="6" hidden="1" customHeight="1" x14ac:dyDescent="0.35"/>
    <row r="1688" ht="6" hidden="1" customHeight="1" x14ac:dyDescent="0.35"/>
    <row r="1689" ht="6" hidden="1" customHeight="1" x14ac:dyDescent="0.35"/>
    <row r="1690" ht="6" hidden="1" customHeight="1" x14ac:dyDescent="0.35"/>
    <row r="1691" ht="6" hidden="1" customHeight="1" x14ac:dyDescent="0.35"/>
    <row r="1692" ht="6" hidden="1" customHeight="1" x14ac:dyDescent="0.35"/>
    <row r="1693" ht="8.15" hidden="1" customHeight="1" x14ac:dyDescent="0.35"/>
    <row r="1694" ht="6" hidden="1" customHeight="1" x14ac:dyDescent="0.35"/>
    <row r="1695" ht="6" hidden="1" customHeight="1" x14ac:dyDescent="0.35"/>
    <row r="1696" ht="6" hidden="1" customHeight="1" x14ac:dyDescent="0.35"/>
    <row r="1697" ht="6" hidden="1" customHeight="1" x14ac:dyDescent="0.35"/>
    <row r="1698" ht="6" hidden="1" customHeight="1" x14ac:dyDescent="0.35"/>
    <row r="1699" ht="6" hidden="1" customHeight="1" x14ac:dyDescent="0.35"/>
    <row r="1700" ht="6" hidden="1" customHeight="1" x14ac:dyDescent="0.35"/>
    <row r="1701" ht="6" hidden="1" customHeight="1" x14ac:dyDescent="0.35"/>
    <row r="1702" ht="6" hidden="1" customHeight="1" x14ac:dyDescent="0.35"/>
    <row r="1703" ht="6" hidden="1" customHeight="1" x14ac:dyDescent="0.35"/>
    <row r="1704" ht="6" hidden="1" customHeight="1" x14ac:dyDescent="0.35"/>
    <row r="1705" ht="6" hidden="1" customHeight="1" x14ac:dyDescent="0.35"/>
    <row r="1706" ht="6" hidden="1" customHeight="1" x14ac:dyDescent="0.35"/>
    <row r="1707" ht="6" hidden="1" customHeight="1" x14ac:dyDescent="0.35"/>
    <row r="1708" ht="6" hidden="1" customHeight="1" x14ac:dyDescent="0.35"/>
    <row r="1709" ht="6" hidden="1" customHeight="1" x14ac:dyDescent="0.35"/>
    <row r="1710" ht="6" hidden="1" customHeight="1" x14ac:dyDescent="0.35"/>
    <row r="1711" ht="6" hidden="1" customHeight="1" x14ac:dyDescent="0.35"/>
    <row r="1712" ht="6" hidden="1" customHeight="1" x14ac:dyDescent="0.35"/>
    <row r="1713" ht="6" hidden="1" customHeight="1" x14ac:dyDescent="0.35"/>
    <row r="1714" ht="6" hidden="1" customHeight="1" x14ac:dyDescent="0.35"/>
    <row r="1715" ht="6" hidden="1" customHeight="1" x14ac:dyDescent="0.35"/>
    <row r="1716" ht="6" hidden="1" customHeight="1" x14ac:dyDescent="0.35"/>
    <row r="1717" ht="6" hidden="1" customHeight="1" x14ac:dyDescent="0.35"/>
    <row r="1718" ht="6" hidden="1" customHeight="1" x14ac:dyDescent="0.35"/>
    <row r="1719" ht="6" hidden="1" customHeight="1" x14ac:dyDescent="0.35"/>
    <row r="1720" ht="6" hidden="1" customHeight="1" x14ac:dyDescent="0.35"/>
    <row r="1721" ht="6" hidden="1" customHeight="1" x14ac:dyDescent="0.35"/>
    <row r="1722" ht="6" hidden="1" customHeight="1" x14ac:dyDescent="0.35"/>
    <row r="1723" ht="6" hidden="1" customHeight="1" x14ac:dyDescent="0.35"/>
    <row r="1724" ht="6" hidden="1" customHeight="1" x14ac:dyDescent="0.35"/>
    <row r="1725" ht="6" hidden="1" customHeight="1" x14ac:dyDescent="0.35"/>
    <row r="1726" ht="6" hidden="1" customHeight="1" x14ac:dyDescent="0.35"/>
    <row r="1727" ht="6" hidden="1" customHeight="1" x14ac:dyDescent="0.35"/>
    <row r="1728" ht="6" hidden="1" customHeight="1" x14ac:dyDescent="0.35"/>
    <row r="1729" ht="6" hidden="1" customHeight="1" x14ac:dyDescent="0.35"/>
    <row r="1730" ht="6" hidden="1" customHeight="1" x14ac:dyDescent="0.35"/>
    <row r="1731" ht="6" hidden="1" customHeight="1" x14ac:dyDescent="0.35"/>
    <row r="1732" ht="6" hidden="1" customHeight="1" x14ac:dyDescent="0.35"/>
    <row r="1733" ht="6" hidden="1" customHeight="1" x14ac:dyDescent="0.35"/>
    <row r="1734" ht="6" hidden="1" customHeight="1" x14ac:dyDescent="0.35"/>
    <row r="1735" ht="6" hidden="1" customHeight="1" x14ac:dyDescent="0.35"/>
    <row r="1736" ht="6" hidden="1" customHeight="1" x14ac:dyDescent="0.35"/>
    <row r="1737" ht="6" hidden="1" customHeight="1" x14ac:dyDescent="0.35"/>
    <row r="1738" ht="6" hidden="1" customHeight="1" x14ac:dyDescent="0.35"/>
    <row r="1739" ht="6" hidden="1" customHeight="1" x14ac:dyDescent="0.35"/>
    <row r="1740" ht="6" hidden="1" customHeight="1" x14ac:dyDescent="0.35"/>
    <row r="1741" ht="6" hidden="1" customHeight="1" x14ac:dyDescent="0.35"/>
    <row r="1742" ht="6" hidden="1" customHeight="1" x14ac:dyDescent="0.35"/>
    <row r="1743" ht="6" hidden="1" customHeight="1" x14ac:dyDescent="0.35"/>
    <row r="1744" ht="6" hidden="1" customHeight="1" x14ac:dyDescent="0.35"/>
    <row r="1745" ht="6" hidden="1" customHeight="1" x14ac:dyDescent="0.35"/>
    <row r="1746" ht="6" hidden="1" customHeight="1" x14ac:dyDescent="0.35"/>
    <row r="1747" ht="6" hidden="1" customHeight="1" x14ac:dyDescent="0.35"/>
    <row r="1748" ht="6" hidden="1" customHeight="1" x14ac:dyDescent="0.35"/>
    <row r="1749" ht="6" hidden="1" customHeight="1" x14ac:dyDescent="0.35"/>
    <row r="1750" ht="6" hidden="1" customHeight="1" x14ac:dyDescent="0.35"/>
    <row r="1751" ht="6" hidden="1" customHeight="1" x14ac:dyDescent="0.35"/>
    <row r="1752" ht="6" hidden="1" customHeight="1" x14ac:dyDescent="0.35"/>
    <row r="1753" ht="6" hidden="1" customHeight="1" x14ac:dyDescent="0.35"/>
    <row r="1754" ht="6" hidden="1" customHeight="1" x14ac:dyDescent="0.35"/>
    <row r="1755" ht="6" hidden="1" customHeight="1" x14ac:dyDescent="0.35"/>
    <row r="1756" ht="6" hidden="1" customHeight="1" x14ac:dyDescent="0.35"/>
    <row r="1757" ht="6" hidden="1" customHeight="1" x14ac:dyDescent="0.35"/>
    <row r="1758" ht="6" hidden="1" customHeight="1" x14ac:dyDescent="0.35"/>
    <row r="1759" ht="6" hidden="1" customHeight="1" x14ac:dyDescent="0.35"/>
    <row r="1760" ht="6" hidden="1" customHeight="1" x14ac:dyDescent="0.35"/>
    <row r="1761" ht="12.65" customHeight="1" x14ac:dyDescent="0.35"/>
    <row r="1765" ht="36" customHeight="1" x14ac:dyDescent="0.35"/>
    <row r="1779" ht="6" hidden="1" customHeight="1" x14ac:dyDescent="0.35"/>
    <row r="2152" ht="3" customHeight="1" x14ac:dyDescent="0.35"/>
    <row r="2153" ht="6" hidden="1" customHeight="1" x14ac:dyDescent="0.35"/>
    <row r="2154" ht="6" hidden="1" customHeight="1" x14ac:dyDescent="0.35"/>
    <row r="2155" ht="6" hidden="1" customHeight="1" x14ac:dyDescent="0.35"/>
    <row r="2156" ht="6" hidden="1" customHeight="1" x14ac:dyDescent="0.35"/>
    <row r="2157" ht="6" hidden="1" customHeight="1" x14ac:dyDescent="0.35"/>
    <row r="2158" ht="6" hidden="1" customHeight="1" x14ac:dyDescent="0.35"/>
    <row r="2159" ht="6" hidden="1" customHeight="1" x14ac:dyDescent="0.35"/>
    <row r="2160" ht="6" hidden="1" customHeight="1" x14ac:dyDescent="0.35"/>
    <row r="2161" ht="6" hidden="1" customHeight="1" x14ac:dyDescent="0.35"/>
    <row r="2162" ht="6" hidden="1" customHeight="1" x14ac:dyDescent="0.35"/>
    <row r="2163" ht="6" hidden="1" customHeight="1" x14ac:dyDescent="0.35"/>
    <row r="2164" ht="6" hidden="1" customHeight="1" x14ac:dyDescent="0.35"/>
    <row r="2165" ht="6" hidden="1" customHeight="1" x14ac:dyDescent="0.35"/>
    <row r="2166" ht="6" hidden="1" customHeight="1" x14ac:dyDescent="0.35"/>
    <row r="2167" ht="6" hidden="1" customHeight="1" x14ac:dyDescent="0.35"/>
    <row r="2168" ht="6" hidden="1" customHeight="1" x14ac:dyDescent="0.35"/>
    <row r="2169" ht="6" hidden="1" customHeight="1" x14ac:dyDescent="0.35"/>
    <row r="2170" ht="6" hidden="1" customHeight="1" x14ac:dyDescent="0.35"/>
    <row r="2171" ht="6" hidden="1" customHeight="1" x14ac:dyDescent="0.35"/>
    <row r="2172" ht="6" hidden="1" customHeight="1" x14ac:dyDescent="0.35"/>
    <row r="2173" ht="6" hidden="1" customHeight="1" x14ac:dyDescent="0.35"/>
    <row r="2174" ht="6" hidden="1" customHeight="1" x14ac:dyDescent="0.35"/>
    <row r="2175" ht="6" hidden="1" customHeight="1" x14ac:dyDescent="0.35"/>
    <row r="2176" ht="6" hidden="1" customHeight="1" x14ac:dyDescent="0.35"/>
    <row r="2177" ht="6" hidden="1" customHeight="1" x14ac:dyDescent="0.35"/>
    <row r="2178" ht="6" hidden="1" customHeight="1" x14ac:dyDescent="0.35"/>
    <row r="2179" ht="6" hidden="1" customHeight="1" x14ac:dyDescent="0.35"/>
    <row r="2180" ht="6" hidden="1" customHeight="1" x14ac:dyDescent="0.35"/>
    <row r="2181" ht="6" hidden="1" customHeight="1" x14ac:dyDescent="0.35"/>
    <row r="2182" ht="6" hidden="1" customHeight="1" x14ac:dyDescent="0.35"/>
    <row r="2183" ht="6" hidden="1" customHeight="1" x14ac:dyDescent="0.35"/>
    <row r="2184" ht="6" hidden="1" customHeight="1" x14ac:dyDescent="0.35"/>
    <row r="2185" ht="6" hidden="1" customHeight="1" x14ac:dyDescent="0.35"/>
    <row r="2186" ht="6" hidden="1" customHeight="1" x14ac:dyDescent="0.35"/>
    <row r="2187" ht="6" hidden="1" customHeight="1" x14ac:dyDescent="0.35"/>
    <row r="2188" ht="6" hidden="1" customHeight="1" x14ac:dyDescent="0.35"/>
    <row r="2189" ht="6" hidden="1" customHeight="1" x14ac:dyDescent="0.35"/>
    <row r="2190" ht="6" hidden="1" customHeight="1" x14ac:dyDescent="0.35"/>
    <row r="2191" ht="6" hidden="1" customHeight="1" x14ac:dyDescent="0.35"/>
    <row r="2192" ht="6" hidden="1" customHeight="1" x14ac:dyDescent="0.35"/>
    <row r="2193" ht="6" hidden="1" customHeight="1" x14ac:dyDescent="0.35"/>
    <row r="2194" ht="6" hidden="1" customHeight="1" x14ac:dyDescent="0.35"/>
    <row r="2195" ht="6" hidden="1" customHeight="1" x14ac:dyDescent="0.35"/>
    <row r="2196" ht="6" hidden="1" customHeight="1" x14ac:dyDescent="0.35"/>
    <row r="2197" ht="6" hidden="1" customHeight="1" x14ac:dyDescent="0.35"/>
    <row r="2198" ht="6" hidden="1" customHeight="1" x14ac:dyDescent="0.35"/>
    <row r="2199" ht="6" hidden="1" customHeight="1" x14ac:dyDescent="0.35"/>
    <row r="2200" ht="6" hidden="1" customHeight="1" x14ac:dyDescent="0.35"/>
    <row r="2201" ht="6" hidden="1" customHeight="1" x14ac:dyDescent="0.35"/>
    <row r="2202" ht="6" hidden="1" customHeight="1" x14ac:dyDescent="0.35"/>
    <row r="2203" ht="6" hidden="1" customHeight="1" x14ac:dyDescent="0.35"/>
    <row r="2204" ht="6" hidden="1" customHeight="1" x14ac:dyDescent="0.35"/>
    <row r="2205" ht="6" hidden="1" customHeight="1" x14ac:dyDescent="0.35"/>
    <row r="2206" ht="6" hidden="1" customHeight="1" x14ac:dyDescent="0.35"/>
    <row r="2207" ht="6" hidden="1" customHeight="1" x14ac:dyDescent="0.35"/>
    <row r="2208" ht="6" hidden="1" customHeight="1" x14ac:dyDescent="0.35"/>
    <row r="2209" ht="6" hidden="1" customHeight="1" x14ac:dyDescent="0.35"/>
    <row r="2210" ht="6" hidden="1" customHeight="1" x14ac:dyDescent="0.35"/>
    <row r="2211" ht="6" hidden="1" customHeight="1" x14ac:dyDescent="0.35"/>
    <row r="2212" ht="6" hidden="1" customHeight="1" x14ac:dyDescent="0.35"/>
    <row r="2213" ht="6" hidden="1" customHeight="1" x14ac:dyDescent="0.35"/>
    <row r="2214" ht="6" hidden="1" customHeight="1" x14ac:dyDescent="0.35"/>
    <row r="2215" ht="6" hidden="1" customHeight="1" x14ac:dyDescent="0.35"/>
    <row r="2216" ht="6" hidden="1" customHeight="1" x14ac:dyDescent="0.35"/>
    <row r="2217" ht="6" hidden="1" customHeight="1" x14ac:dyDescent="0.35"/>
    <row r="2218" ht="6" hidden="1" customHeight="1" x14ac:dyDescent="0.35"/>
    <row r="2219" ht="6" hidden="1" customHeight="1" x14ac:dyDescent="0.35"/>
    <row r="2220" ht="6" hidden="1" customHeight="1" x14ac:dyDescent="0.35"/>
    <row r="2221" ht="6" hidden="1" customHeight="1" x14ac:dyDescent="0.35"/>
    <row r="2222" ht="6" hidden="1" customHeight="1" x14ac:dyDescent="0.35"/>
    <row r="2223" ht="6" hidden="1" customHeight="1" x14ac:dyDescent="0.35"/>
    <row r="2224" ht="6" hidden="1" customHeight="1" x14ac:dyDescent="0.35"/>
    <row r="2225" ht="6" hidden="1" customHeight="1" x14ac:dyDescent="0.35"/>
    <row r="2226" ht="6" hidden="1" customHeight="1" x14ac:dyDescent="0.35"/>
    <row r="2227" ht="6" hidden="1" customHeight="1" x14ac:dyDescent="0.35"/>
    <row r="2228" ht="6" hidden="1" customHeight="1" x14ac:dyDescent="0.35"/>
    <row r="2229" ht="6" hidden="1" customHeight="1" x14ac:dyDescent="0.35"/>
    <row r="2230" ht="6" hidden="1" customHeight="1" x14ac:dyDescent="0.35"/>
    <row r="2231" ht="6" hidden="1" customHeight="1" x14ac:dyDescent="0.35"/>
    <row r="2232" ht="6" hidden="1" customHeight="1" x14ac:dyDescent="0.35"/>
    <row r="2233" ht="6" hidden="1" customHeight="1" x14ac:dyDescent="0.35"/>
    <row r="2234" ht="6" hidden="1" customHeight="1" x14ac:dyDescent="0.35"/>
    <row r="2235" ht="6" hidden="1" customHeight="1" x14ac:dyDescent="0.35"/>
    <row r="2236" ht="6" hidden="1" customHeight="1" x14ac:dyDescent="0.35"/>
    <row r="2237" ht="6" hidden="1" customHeight="1" x14ac:dyDescent="0.35"/>
    <row r="2238" ht="6" hidden="1" customHeight="1" x14ac:dyDescent="0.35"/>
    <row r="2239" ht="6" hidden="1" customHeight="1" x14ac:dyDescent="0.35"/>
    <row r="2240" ht="6" hidden="1" customHeight="1" x14ac:dyDescent="0.35"/>
    <row r="2241" ht="6" hidden="1" customHeight="1" x14ac:dyDescent="0.35"/>
    <row r="2242" ht="6" hidden="1" customHeight="1" x14ac:dyDescent="0.35"/>
    <row r="2243" ht="6" hidden="1" customHeight="1" x14ac:dyDescent="0.35"/>
    <row r="2244" ht="6" hidden="1" customHeight="1" x14ac:dyDescent="0.35"/>
    <row r="2245" ht="6" hidden="1" customHeight="1" x14ac:dyDescent="0.35"/>
    <row r="2246" ht="6" hidden="1" customHeight="1" x14ac:dyDescent="0.35"/>
    <row r="2247" ht="6" hidden="1" customHeight="1" x14ac:dyDescent="0.35"/>
    <row r="2248" ht="6" hidden="1" customHeight="1" x14ac:dyDescent="0.35"/>
    <row r="2249" ht="6" hidden="1" customHeight="1" x14ac:dyDescent="0.35"/>
    <row r="2250" ht="6" hidden="1" customHeight="1" x14ac:dyDescent="0.35"/>
    <row r="2251" ht="6" hidden="1" customHeight="1" x14ac:dyDescent="0.35"/>
    <row r="2252" ht="6" hidden="1" customHeight="1" x14ac:dyDescent="0.35"/>
    <row r="2253" ht="6" hidden="1" customHeight="1" x14ac:dyDescent="0.35"/>
    <row r="2254" ht="6" hidden="1" customHeight="1" x14ac:dyDescent="0.35"/>
    <row r="2255" ht="6" hidden="1" customHeight="1" x14ac:dyDescent="0.35"/>
    <row r="2256" ht="6" hidden="1" customHeight="1" x14ac:dyDescent="0.35"/>
    <row r="2257" ht="6" hidden="1" customHeight="1" x14ac:dyDescent="0.35"/>
    <row r="2258" ht="6" hidden="1" customHeight="1" x14ac:dyDescent="0.35"/>
    <row r="2259" ht="6" hidden="1" customHeight="1" x14ac:dyDescent="0.35"/>
    <row r="2260" ht="6" hidden="1" customHeight="1" x14ac:dyDescent="0.35"/>
  </sheetData>
  <mergeCells count="18">
    <mergeCell ref="B1:BH1"/>
    <mergeCell ref="A3:K4"/>
    <mergeCell ref="L3:P4"/>
    <mergeCell ref="Q3:T4"/>
    <mergeCell ref="U3:V4"/>
    <mergeCell ref="W3:Z4"/>
    <mergeCell ref="AB3:AE4"/>
    <mergeCell ref="AF3:AJ4"/>
    <mergeCell ref="AK3:AO4"/>
    <mergeCell ref="AP3:BA3"/>
    <mergeCell ref="B94:C94"/>
    <mergeCell ref="B95:C95"/>
    <mergeCell ref="BB3:BD4"/>
    <mergeCell ref="BE3:BH4"/>
    <mergeCell ref="AP4:AR4"/>
    <mergeCell ref="AS4:AU4"/>
    <mergeCell ref="AV4:AX4"/>
    <mergeCell ref="AY4:BA4"/>
  </mergeCells>
  <dataValidations count="1">
    <dataValidation type="textLength" showInputMessage="1" showErrorMessage="1" promptTitle="CARACTERES PERMITIDOS EN EL ASE" prompt="La extensión del texto no debe superar 90 caracteres." sqref="AB63:AB73 AA75:AB75 AB76:AB93 AB6:AB61" xr:uid="{BD100358-0491-45D9-BD94-B85132A6B2AF}">
      <formula1>0</formula1>
      <formula2>90</formula2>
    </dataValidation>
  </dataValidations>
  <pageMargins left="0.7" right="0.7" top="0.75" bottom="0.75" header="0.3" footer="0.3"/>
  <pageSetup scale="10" orientation="portrait" r:id="rId1"/>
  <colBreaks count="1" manualBreakCount="1">
    <brk id="16383"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Integración PAA</vt:lpstr>
      <vt:lpstr>Plan de Acción</vt:lpstr>
      <vt:lpstr>PINAR</vt:lpstr>
      <vt:lpstr>PETH</vt:lpstr>
      <vt:lpstr>PSST</vt:lpstr>
      <vt:lpstr>PII</vt:lpstr>
      <vt:lpstr>PIC</vt:lpstr>
      <vt:lpstr>PAAC</vt:lpstr>
      <vt:lpstr>PETI</vt:lpstr>
      <vt:lpstr>PES</vt:lpstr>
      <vt:lpstr>Plan Cierre de Brechas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 Sebastian Victoria Gómez</dc:creator>
  <cp:lastModifiedBy>Jenny Isabel González Cantillo</cp:lastModifiedBy>
  <dcterms:created xsi:type="dcterms:W3CDTF">2019-04-29T15:16:09Z</dcterms:created>
  <dcterms:modified xsi:type="dcterms:W3CDTF">2023-08-04T21:17:48Z</dcterms:modified>
</cp:coreProperties>
</file>